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521" windowWidth="11475" windowHeight="9690" tabRatio="1000" activeTab="0"/>
  </bookViews>
  <sheets>
    <sheet name="Voorpagina" sheetId="1" r:id="rId1"/>
    <sheet name="Inleiding en Kerngegevens" sheetId="2" r:id="rId2"/>
    <sheet name="Kosten van het planten" sheetId="3" r:id="rId3"/>
    <sheet name="Werkgelegenheid" sheetId="4" r:id="rId4"/>
    <sheet name="Kwekerij" sheetId="5" r:id="rId5"/>
    <sheet name="Management werkdiagram" sheetId="6" r:id="rId6"/>
  </sheets>
  <definedNames>
    <definedName name="_xlnm.Print_Area" localSheetId="2">'Kosten van het planten'!$A$1:$E$61</definedName>
    <definedName name="_xlnm.Print_Area" localSheetId="0">'Voorpagina'!$A$1:$A$29</definedName>
    <definedName name="_xlnm.Print_Area" localSheetId="3">'Werkgelegenheid'!$A$1:$F$56</definedName>
  </definedNames>
  <calcPr fullCalcOnLoad="1"/>
</workbook>
</file>

<file path=xl/comments2.xml><?xml version="1.0" encoding="utf-8"?>
<comments xmlns="http://schemas.openxmlformats.org/spreadsheetml/2006/main">
  <authors>
    <author>PieterHoff</author>
  </authors>
  <commentList>
    <comment ref="B21"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3.xml><?xml version="1.0" encoding="utf-8"?>
<comments xmlns="http://schemas.openxmlformats.org/spreadsheetml/2006/main">
  <authors>
    <author/>
  </authors>
  <commentList>
    <comment ref="A30" authorId="0">
      <text>
        <r>
          <rPr>
            <b/>
            <sz val="9"/>
            <color indexed="8"/>
            <rFont val="Tahoma"/>
            <family val="2"/>
          </rPr>
          <t xml:space="preserve">This is based on a tractor of 60K plus machine of 40K making 1 hole a time, plus energy, using it 6 years. If it is a 3-drill, price will drop to 6 cents excl. wages
</t>
        </r>
        <r>
          <rPr>
            <sz val="9"/>
            <color indexed="8"/>
            <rFont val="Tahoma"/>
            <family val="2"/>
          </rPr>
          <t xml:space="preserve">
</t>
        </r>
      </text>
    </comment>
    <comment ref="A31" authorId="0">
      <text>
        <r>
          <rPr>
            <b/>
            <sz val="9"/>
            <color indexed="8"/>
            <rFont val="Tahoma"/>
            <family val="2"/>
          </rPr>
          <t xml:space="preserve">This is based on a tractor with one drill, with 3 drills the price would drop to 10 cents
</t>
        </r>
      </text>
    </comment>
  </commentList>
</comments>
</file>

<file path=xl/sharedStrings.xml><?xml version="1.0" encoding="utf-8"?>
<sst xmlns="http://schemas.openxmlformats.org/spreadsheetml/2006/main" count="239" uniqueCount="177">
  <si>
    <t>De 10 keer herbruikbare Groasis Waterboxx</t>
  </si>
  <si>
    <t>Opmerking: Dit vereenvoudigde model geeft een globaal inzicht in de kosten die verbonden zijn aan het uitvoeren van een boomplantproject met Groasis Waterboxxes in woestijnen, of in geërodeerde of rotsachtige gebieden. Het model geeft nadrukkelijk geen volledig beeld van alle implicaties van het opzetten van een dergelijk project.</t>
  </si>
  <si>
    <t>In dit document wordt uitgegaan van algemene veronderstellingen.</t>
  </si>
  <si>
    <t>Pas de gegevens in het document aan, zodat de cijfers in overeenstemming zijn met uw specifieke project.</t>
  </si>
  <si>
    <t>Pieter Hoff</t>
  </si>
  <si>
    <t>phoff@groasis.com</t>
  </si>
  <si>
    <t>© Wout Hoff - dit model is intellectueel eigendom of Groasis - Holland</t>
  </si>
  <si>
    <r>
      <t xml:space="preserve">                                            </t>
    </r>
    <r>
      <rPr>
        <b/>
        <i/>
        <sz val="11"/>
        <color indexed="8"/>
        <rFont val="Calibri"/>
        <family val="2"/>
      </rPr>
      <t>maak ongebruikte grond weer productief</t>
    </r>
  </si>
  <si>
    <t xml:space="preserve">                                      </t>
  </si>
  <si>
    <t>Inleiding bij het project:</t>
  </si>
  <si>
    <t>De Groasis Waterboxx is een innovatief apparaat dat 10 jaar lang hergebruikt kan worden, en dat het mogelijk maakt om planten, struiken en bomen te planten op ongebruikte grond.</t>
  </si>
  <si>
    <t>Kerngegevens van het project:</t>
  </si>
  <si>
    <t>VUL DE OMVANG VAN HET PROJECT IN</t>
  </si>
  <si>
    <t>Opmerking: verander het aantal hectares naar de werkelijke situatie, de calculatie zal daarna automatisch aangepast worden</t>
  </si>
  <si>
    <t>VUL DE DUUR VAN HET PROJECT IN</t>
  </si>
  <si>
    <t>jaar</t>
  </si>
  <si>
    <t>Opmerking: verander de projectduur naar de werkelijke situatie, de calculatie zal daarna automatisch aangepast worden</t>
  </si>
  <si>
    <t>VUL HET BRUTO UURLOON VAN EEN PLANTER IN</t>
  </si>
  <si>
    <t>US$</t>
  </si>
  <si>
    <t>Opmerking: verander het uurloon naar de werkelijke situatie, de calculatie zal daarna automatisch aangepast worden</t>
  </si>
  <si>
    <t>VUL HET AANTAL WATERBOXXES PER HECTARE IN</t>
  </si>
  <si>
    <t>Opmerking: u kunt per box twee bomen planten; als u 600 bomen per hectare wilt planten, heeft u dus slechts 300 Waterboxxes nodig</t>
  </si>
  <si>
    <t>VUL HET AANTAL WEKEN IN DAT U PLANT PER JAAR</t>
  </si>
  <si>
    <t>Opmerking: verminder het aantal van 52 weken met het aantal weken waarin niet geplant wordt (i.v.m. vakanties, religieuze periodes e.d.), en vul het resterende aantal weken in</t>
  </si>
  <si>
    <t>Snelheid van het plantproject in ha per week</t>
  </si>
  <si>
    <t>ha/week</t>
  </si>
  <si>
    <t>Jaarlijkse investering</t>
  </si>
  <si>
    <t>mUS$</t>
  </si>
  <si>
    <t>Investering per ha</t>
  </si>
  <si>
    <t>Totaal gegenereerde werkgelegenheid per jaar</t>
  </si>
  <si>
    <t>Oppervlakte van de kwekerij</t>
  </si>
  <si>
    <t>m2</t>
  </si>
  <si>
    <t>Aantal levende bomen na voltooiing van het project</t>
  </si>
  <si>
    <t>Benodigde investering voor het plantproject</t>
  </si>
  <si>
    <t>Opmerking:</t>
  </si>
  <si>
    <t>A.u.b. alleen de waardes in de lichtgele cellen veranderen:</t>
  </si>
  <si>
    <t>Deze pagina beschrijft het proces van het beplanten van het gebied met Groasis Waterboxxes.</t>
  </si>
  <si>
    <t>INPUT</t>
  </si>
  <si>
    <t>Eenheid</t>
  </si>
  <si>
    <t>Waarde</t>
  </si>
  <si>
    <t>Omvang van het project</t>
  </si>
  <si>
    <t>ha</t>
  </si>
  <si>
    <t>Duur van het project</t>
  </si>
  <si>
    <t>Schoonmaakkosten per ha (onkruid/ongewenste soorten)</t>
  </si>
  <si>
    <t>Totale schoonmaakkosten per ha</t>
  </si>
  <si>
    <t>Aantal Groasis Waterboxxes / plantgaten per ha</t>
  </si>
  <si>
    <t>Aantal bomen per Groasis Waterboxx</t>
  </si>
  <si>
    <t>Selecteer de juiste waarde uit de dropdown-lijst</t>
  </si>
  <si>
    <t>Aantal geplante bomen per ha</t>
  </si>
  <si>
    <t>Aantal variëteiten dat per Groasis Waterboxx geplant wordt</t>
  </si>
  <si>
    <t>Selecteer de juiste waarde uit de dropdown-lijst. Indien u 2 variëteiten plant, wordt uitgegaan van een verdeling van 50%-50%</t>
  </si>
  <si>
    <t>Prijs van variëteit 1</t>
  </si>
  <si>
    <t>Dit bedrag is inclusief de kosten van de kwekerij, indien de planten plaatselijk gekweekt worden</t>
  </si>
  <si>
    <t>Prijs van variëteit 2</t>
  </si>
  <si>
    <t>Kosten van bomen per ha</t>
  </si>
  <si>
    <t>Verwacht overlevingspercentage</t>
  </si>
  <si>
    <t>%</t>
  </si>
  <si>
    <t>Aantal overlevende bomen per ha</t>
  </si>
  <si>
    <t>Aantal m2 per overlevende boom</t>
  </si>
  <si>
    <t>Totale kosten per Groasis Waterboxx</t>
  </si>
  <si>
    <t>Belangrijk: vul hier de prijs van uw offerte in. De standaard ingevulde prijs is niet de marktprijs, aangezien de prijs afhankelijk is van</t>
  </si>
  <si>
    <t>Kosten van Groasis Waterboxxes per ha</t>
  </si>
  <si>
    <t>Aantal plantgaten geboord per ha</t>
  </si>
  <si>
    <t>Boorkosten per plantgat – machines</t>
  </si>
  <si>
    <t>Boorkosten per plantgat – loonkosten</t>
  </si>
  <si>
    <t>Kosten van het boren van plantgaten per ha</t>
  </si>
  <si>
    <t>Plantkosten per Groasis Waterboxx – loonkosten</t>
  </si>
  <si>
    <t>Huisvesting, voedsel, vervoer, medische zorg voor personeel enz., per box geschat op</t>
  </si>
  <si>
    <t>Kosten van het planten per ha</t>
  </si>
  <si>
    <t>Benodigde hoeveelheid water per box – vóór het planten</t>
  </si>
  <si>
    <t>liter</t>
  </si>
  <si>
    <t>Kosten van water incl. logistiek per ha</t>
  </si>
  <si>
    <t>Kosten van management en organisatie per ha</t>
  </si>
  <si>
    <t>Onvoorzien</t>
  </si>
  <si>
    <t>Onvoorziene kosten per ha geschat op</t>
  </si>
  <si>
    <t>Totale plantkosten geschat op</t>
  </si>
  <si>
    <t>US$/ha</t>
  </si>
  <si>
    <t>US$/boom</t>
  </si>
  <si>
    <r>
      <t xml:space="preserve">                                            </t>
    </r>
    <r>
      <rPr>
        <b/>
        <i/>
        <sz val="11"/>
        <color indexed="8"/>
        <rFont val="Calibri"/>
        <family val="2"/>
      </rPr>
      <t>Maak ongebruikte grond weer productief</t>
    </r>
  </si>
  <si>
    <t>Op deze pagina wordt beschreven hoe het project georganiseerd moet worden. Daarnaast geeft de pagina een overzicht van de gegenereerde werkgelegenheid</t>
  </si>
  <si>
    <t>Aantal ha dat per jaar beplant wordt</t>
  </si>
  <si>
    <t>Aantal weken per jaar waarin geplant wordt</t>
  </si>
  <si>
    <t>weken</t>
  </si>
  <si>
    <t>Aantal ha dat per week beplant wordt</t>
  </si>
  <si>
    <t>Aantal Groasis Waterboxxes per week</t>
  </si>
  <si>
    <t>Aantal bomen per week</t>
  </si>
  <si>
    <t>Aantal werkdagen per week</t>
  </si>
  <si>
    <t>dagen</t>
  </si>
  <si>
    <t>Duur van de dienst van een planter</t>
  </si>
  <si>
    <t>uren</t>
  </si>
  <si>
    <t>Aantal Groasis Waterboxxes per werkdag</t>
  </si>
  <si>
    <t>Aantal uren dat per dag geboord wordt</t>
  </si>
  <si>
    <t>Aantal gaten dat per uur geboord wordt</t>
  </si>
  <si>
    <t>Aantal gaten dat per dag geboord wordt</t>
  </si>
  <si>
    <t>Benodigd aantal boren</t>
  </si>
  <si>
    <t>Benodigd aantal mensen dat de boren bedient</t>
  </si>
  <si>
    <t>Aantal geplante Groasis Waterboxxes per shift</t>
  </si>
  <si>
    <t>Benodigd aantal planters</t>
  </si>
  <si>
    <t>Aantal verwijderde en schoongemaakte Groasis Waterboxxes per man per uur</t>
  </si>
  <si>
    <t>Aantal verwijderde en schoongemaakte Groasis Waterboxxes per shift</t>
  </si>
  <si>
    <t>Benodigd aantal mensen voor het verwijderen en schoonmaken van de boxen</t>
  </si>
  <si>
    <t>Opmerking: de arbeiders in cel C34 zijn nodig een jaar na de start van het project, en blijven nodig tot een jaar na de voltooiing van het project.</t>
  </si>
  <si>
    <t>Verstrekking van water tijdens het planten</t>
  </si>
  <si>
    <t>Schoonmaakkosten (onkruid/ongewenste soorten) in uren per ha</t>
  </si>
  <si>
    <t>Aantal ha dat per dag schoongemaakt wordt</t>
  </si>
  <si>
    <t>Benodigd aantal schoonmakers</t>
  </si>
  <si>
    <t>Arbeid onvoorzien, geschat op</t>
  </si>
  <si>
    <t>Management</t>
  </si>
  <si>
    <t>Totaal benodigde aantal arbeiders voor plantproject, incl. management</t>
  </si>
  <si>
    <t>Op deze pagina vindt u een berekening van de grootte van de kwekerij die nodig is om de jonge bomen en struiken te kunnen kweken voor uw project.</t>
  </si>
  <si>
    <t>Minimumleeftijd van de plant voor het planten in Groasis Waterboxxes</t>
  </si>
  <si>
    <t>Plantendichtheid in kwekerij, eerste periode, trays van polystyreen</t>
  </si>
  <si>
    <t>planten/bruto m2</t>
  </si>
  <si>
    <t>Plantendichtgeid in kwekerij, resterende weken, trays van polystyreen</t>
  </si>
  <si>
    <t>Tijd in weken in de kwekerij, bij 800 planten per m2</t>
  </si>
  <si>
    <t>Netto aantal planten dat per week nodig is</t>
  </si>
  <si>
    <t>Verlies aan planten tijdens productie in kwekerij</t>
  </si>
  <si>
    <t>Bruto aantal planten dat per week nodig is</t>
  </si>
  <si>
    <t>Bruto oppervlakte nodig voor productie voor de eerste week</t>
  </si>
  <si>
    <t>Totaal bruto oppervlakte nodig voor eerste productieperiode</t>
  </si>
  <si>
    <t>Bruto oppervlakte nodig per week voor de resterende weken</t>
  </si>
  <si>
    <t>Totaal bruto oppervlakte nodig voor de laatste productieperiode</t>
  </si>
  <si>
    <t>Totaal benodigde oppervlakte van de kwekerij (netto)</t>
  </si>
  <si>
    <t>Percentage ongebruikt gebied in kwekerij (gangpaden)</t>
  </si>
  <si>
    <t>Totaal benodigde oppervlakte van de kwekerij (bruto)</t>
  </si>
  <si>
    <t>Opmerking: er wordt van uitgegaan dat bij de kostprijs van jonge bomen inbegrepen is de productiekosten van kwekerij en materiaal (zie tab 'Kosten van het planten').</t>
  </si>
  <si>
    <t xml:space="preserve">                                             make wasteland productive again</t>
  </si>
  <si>
    <t>Deze pagina geeft de management- en kantoorkosten weer, inclusief het gebouw</t>
  </si>
  <si>
    <t>Input</t>
  </si>
  <si>
    <t>Aantal</t>
  </si>
  <si>
    <t>Jaarsalaris in $</t>
  </si>
  <si>
    <t>Totaal</t>
  </si>
  <si>
    <t>Kantoorkosten in $</t>
  </si>
  <si>
    <t>General manager</t>
  </si>
  <si>
    <t>Financial manager</t>
  </si>
  <si>
    <t>Marketing en verkoop</t>
  </si>
  <si>
    <t>Human resources</t>
  </si>
  <si>
    <t>Assistant general manager</t>
  </si>
  <si>
    <t>Quality control</t>
  </si>
  <si>
    <t>Communicatie</t>
  </si>
  <si>
    <t>Kwekerij</t>
  </si>
  <si>
    <t>Bosbouw</t>
  </si>
  <si>
    <t>Logistiek</t>
  </si>
  <si>
    <t>Apparatuur</t>
  </si>
  <si>
    <t>Voeding &amp; gezondheid</t>
  </si>
  <si>
    <t>Beveiliging</t>
  </si>
  <si>
    <t>Arts</t>
  </si>
  <si>
    <t>Juridisch</t>
  </si>
  <si>
    <t>Ondersteunend personeel</t>
  </si>
  <si>
    <t>Subtotaal</t>
  </si>
  <si>
    <t>Totale managementkosten</t>
  </si>
  <si>
    <t>Groasis Technologie</t>
  </si>
  <si>
    <t>Huisvestingskosten per werknemer per dag</t>
  </si>
  <si>
    <t>Schoonmaakkosten van boxen/machines/water</t>
  </si>
  <si>
    <t>Arbeidskosten van het schoonmaken</t>
  </si>
  <si>
    <t>Schoonmaakkosten van de Waterboxxen per hectare</t>
  </si>
  <si>
    <t>Aantal in elkaar gezette en geplante Groasis Waterboxxes per man per uur</t>
  </si>
  <si>
    <t>Intern vervoer  tijdens het planten</t>
  </si>
  <si>
    <t>Aantal plantgaten en Groasis Waterboxxen watervullen per manuur</t>
  </si>
  <si>
    <t>Intern vervoer van Groasis Waterboxxen en boompjes per manuur</t>
  </si>
  <si>
    <t>Opmerking: onder droge omstandigheden moet je een dag voor het planten de plantgaten met 20 tot 40 liter water vullen. Na het planten vul je de midden opening van de Groasis Waterboxx met 4 liter en de Groasis Waterboxx zelf met 16 liter</t>
  </si>
  <si>
    <t>Kosten van water per liter</t>
  </si>
  <si>
    <t>Water geven</t>
  </si>
  <si>
    <t>met</t>
  </si>
  <si>
    <t>het gekochte aantal boxen, invoerrechten, BTW, vervoer en andere kosten. Deze kosten kunnen per land variëren.</t>
  </si>
  <si>
    <t>Bescherming van de bomen tegen dieren</t>
  </si>
  <si>
    <t>Kosten van de bescherming per ha</t>
  </si>
  <si>
    <t>Veiligheidskosten / bescherming van het gebied</t>
  </si>
  <si>
    <t>Totale veiligheids- en beschermingskosten</t>
  </si>
  <si>
    <t>Opmerking: als het project korter is dan een  jaar, moet je het resultaat van deze cel delen door 52 en vermenigvuldigen met het aantal weken dat het project duurt</t>
  </si>
  <si>
    <t>Jaarlijkse CO₂-reductie in ton</t>
  </si>
  <si>
    <t>Totale CO₂ reductie in tonnen gedurende 50 jaar na planten</t>
  </si>
  <si>
    <t>personeel/jaar</t>
  </si>
  <si>
    <t>Bedrag per ton CO₂ reductie gedurende de hele periode</t>
  </si>
  <si>
    <t>de management kosten worden standaard per 10.000 ha genomen</t>
  </si>
  <si>
    <t>Maakt ongebruikte grond weer productief</t>
  </si>
  <si>
    <t>voor de Boomoplossing</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</si>
</sst>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m/yyyy"/>
    <numFmt numFmtId="165" formatCode="_-* #,##0.00_-;\-* #,##0.00_-;_-* \-??_-;_-@_-"/>
    <numFmt numFmtId="166" formatCode="_-* #,##0_-;\-* #,##0_-;_-* \-??_-;_-@_-"/>
    <numFmt numFmtId="167" formatCode="_-* #,##0.0_-;\-* #,##0.0_-;_-* \-??_-;_-@_-"/>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quot;Ja&quot;;&quot;Ja&quot;;&quot;Nee&quot;"/>
    <numFmt numFmtId="176" formatCode="&quot;Waar&quot;;&quot;Waar&quot;;&quot;Niet waar&quot;"/>
    <numFmt numFmtId="177" formatCode="&quot;Aan&quot;;&quot;Aan&quot;;&quot;Uit&quot;"/>
    <numFmt numFmtId="178" formatCode="[$€-2]\ #.##000_);[Red]\([$€-2]\ #.##000\)"/>
    <numFmt numFmtId="179" formatCode="#,##0_ ;\-#,##0\ "/>
    <numFmt numFmtId="180" formatCode="#,##0.0_ ;\-#,##0.0\ "/>
    <numFmt numFmtId="181" formatCode="_-* #,##0.00000000_-;\-* #,##0.00000000_-;_-* \-??_-;_-@_-"/>
    <numFmt numFmtId="182" formatCode="[$-413]dddd\ d\ mmmm\ yyyy"/>
    <numFmt numFmtId="183" formatCode="_-* #,##0.0000000_-;\-* #,##0.0000000_-;_-* \-??_-;_-@_-"/>
    <numFmt numFmtId="184" formatCode="_-* #,##0.000000_-;\-* #,##0.000000_-;_-* \-??_-;_-@_-"/>
    <numFmt numFmtId="185" formatCode="_-* #,##0.00000_-;\-* #,##0.00000_-;_-* \-??_-;_-@_-"/>
    <numFmt numFmtId="186" formatCode="_-* #,##0.0000_-;\-* #,##0.0000_-;_-* \-??_-;_-@_-"/>
    <numFmt numFmtId="187" formatCode="_-* #,##0.000_-;\-* #,##0.000_-;_-* \-??_-;_-@_-"/>
  </numFmts>
  <fonts count="58">
    <font>
      <sz val="11"/>
      <color indexed="8"/>
      <name val="Calibri"/>
      <family val="2"/>
    </font>
    <font>
      <sz val="10"/>
      <name val="Arial"/>
      <family val="0"/>
    </font>
    <font>
      <sz val="10"/>
      <name val="Calibri"/>
      <family val="2"/>
    </font>
    <font>
      <i/>
      <sz val="18"/>
      <name val="Calibri"/>
      <family val="2"/>
    </font>
    <font>
      <b/>
      <i/>
      <sz val="24"/>
      <color indexed="9"/>
      <name val="Calibri"/>
      <family val="2"/>
    </font>
    <font>
      <sz val="24"/>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i/>
      <sz val="11"/>
      <color indexed="8"/>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b/>
      <sz val="9"/>
      <color indexed="8"/>
      <name val="Tahoma"/>
      <family val="2"/>
    </font>
    <font>
      <sz val="9"/>
      <color indexed="8"/>
      <name val="Tahoma"/>
      <family val="2"/>
    </font>
    <font>
      <b/>
      <sz val="11"/>
      <color indexed="8"/>
      <name val="Calibri"/>
      <family val="2"/>
    </font>
    <font>
      <sz val="11"/>
      <name val="Calibri"/>
      <family val="2"/>
    </font>
    <font>
      <i/>
      <sz val="11"/>
      <name val="Calibri"/>
      <family val="2"/>
    </font>
    <font>
      <u val="single"/>
      <sz val="11"/>
      <name val="Calibri"/>
      <family val="2"/>
    </font>
    <font>
      <b/>
      <sz val="9"/>
      <name val="Tahoma"/>
      <family val="2"/>
    </font>
    <font>
      <sz val="9"/>
      <name val="Tahoma"/>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9CC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28" borderId="0" applyNumberFormat="0" applyBorder="0" applyAlignment="0" applyProtection="0"/>
    <xf numFmtId="0" fontId="10" fillId="0" borderId="0" applyNumberFormat="0" applyFill="0" applyBorder="0" applyAlignment="0" applyProtection="0"/>
    <xf numFmtId="0" fontId="46" fillId="29" borderId="1" applyNumberFormat="0" applyAlignment="0" applyProtection="0"/>
    <xf numFmtId="165" fontId="0" fillId="0" borderId="0" applyFill="0" applyBorder="0" applyAlignment="0" applyProtection="0"/>
    <xf numFmtId="41" fontId="1" fillId="0" borderId="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1" fillId="0" borderId="0">
      <alignment/>
      <protection/>
    </xf>
    <xf numFmtId="0" fontId="0" fillId="31" borderId="7" applyNumberFormat="0" applyFont="0" applyAlignment="0" applyProtection="0"/>
    <xf numFmtId="0" fontId="51" fillId="32" borderId="0" applyNumberFormat="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99">
    <xf numFmtId="0" fontId="0" fillId="0" borderId="0" xfId="0" applyAlignment="1">
      <alignment/>
    </xf>
    <xf numFmtId="0" fontId="1" fillId="33" borderId="0" xfId="52" applyFill="1">
      <alignment/>
      <protection/>
    </xf>
    <xf numFmtId="0" fontId="2" fillId="33" borderId="0" xfId="52" applyFont="1" applyFill="1" applyAlignment="1">
      <alignment horizontal="center"/>
      <protection/>
    </xf>
    <xf numFmtId="0" fontId="3" fillId="33" borderId="0" xfId="52" applyFont="1" applyFill="1" applyAlignment="1">
      <alignment horizontal="center"/>
      <protection/>
    </xf>
    <xf numFmtId="0" fontId="4" fillId="33" borderId="0" xfId="52" applyFont="1" applyFill="1" applyAlignment="1">
      <alignment horizontal="center" wrapText="1"/>
      <protection/>
    </xf>
    <xf numFmtId="0" fontId="5" fillId="33" borderId="0" xfId="52" applyFont="1" applyFill="1" applyAlignment="1">
      <alignment horizontal="center"/>
      <protection/>
    </xf>
    <xf numFmtId="164" fontId="4" fillId="33" borderId="0" xfId="52" applyNumberFormat="1" applyFont="1" applyFill="1" applyAlignment="1">
      <alignment horizontal="center"/>
      <protection/>
    </xf>
    <xf numFmtId="0" fontId="6" fillId="34" borderId="0" xfId="52" applyFont="1" applyFill="1" applyAlignment="1">
      <alignment horizontal="left" wrapText="1"/>
      <protection/>
    </xf>
    <xf numFmtId="0" fontId="7" fillId="33" borderId="0" xfId="52" applyFont="1" applyFill="1" applyAlignment="1">
      <alignment horizontal="center"/>
      <protection/>
    </xf>
    <xf numFmtId="0" fontId="8" fillId="34" borderId="10" xfId="52" applyFont="1" applyFill="1" applyBorder="1" applyAlignment="1">
      <alignment horizontal="center"/>
      <protection/>
    </xf>
    <xf numFmtId="0" fontId="8" fillId="34" borderId="11" xfId="52" applyFont="1" applyFill="1" applyBorder="1" applyAlignment="1">
      <alignment horizontal="center"/>
      <protection/>
    </xf>
    <xf numFmtId="0" fontId="6" fillId="33" borderId="0" xfId="52" applyFont="1" applyFill="1" applyAlignment="1">
      <alignment horizontal="center"/>
      <protection/>
    </xf>
    <xf numFmtId="0" fontId="9" fillId="33" borderId="0" xfId="52" applyFont="1" applyFill="1" applyAlignment="1">
      <alignment horizontal="center"/>
      <protection/>
    </xf>
    <xf numFmtId="0" fontId="10" fillId="33" borderId="0" xfId="43" applyNumberFormat="1" applyFont="1" applyFill="1" applyBorder="1" applyAlignment="1" applyProtection="1">
      <alignment horizontal="center"/>
      <protection/>
    </xf>
    <xf numFmtId="0" fontId="11" fillId="33" borderId="0" xfId="52"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3" fillId="0" borderId="0" xfId="0" applyFont="1" applyBorder="1" applyAlignment="1">
      <alignment/>
    </xf>
    <xf numFmtId="0" fontId="13" fillId="0" borderId="0" xfId="0" applyFont="1" applyAlignment="1">
      <alignment/>
    </xf>
    <xf numFmtId="166" fontId="0" fillId="36" borderId="12" xfId="45" applyNumberFormat="1" applyFont="1" applyFill="1" applyBorder="1" applyAlignment="1" applyProtection="1">
      <alignment/>
      <protection/>
    </xf>
    <xf numFmtId="0" fontId="0" fillId="33" borderId="0" xfId="0" applyFont="1" applyFill="1" applyAlignment="1">
      <alignment/>
    </xf>
    <xf numFmtId="0" fontId="14" fillId="0" borderId="0" xfId="0" applyFont="1" applyAlignment="1">
      <alignment/>
    </xf>
    <xf numFmtId="166" fontId="0" fillId="33" borderId="0" xfId="45" applyNumberFormat="1" applyFont="1" applyFill="1" applyBorder="1" applyAlignment="1" applyProtection="1">
      <alignment/>
      <protection/>
    </xf>
    <xf numFmtId="0" fontId="0" fillId="0" borderId="0" xfId="0" applyFill="1" applyBorder="1" applyAlignment="1">
      <alignment/>
    </xf>
    <xf numFmtId="166" fontId="0" fillId="0" borderId="0" xfId="45" applyNumberFormat="1" applyFont="1" applyFill="1" applyBorder="1" applyAlignment="1" applyProtection="1">
      <alignment/>
      <protection/>
    </xf>
    <xf numFmtId="0" fontId="0" fillId="0" borderId="0" xfId="0" applyFill="1" applyAlignment="1">
      <alignment/>
    </xf>
    <xf numFmtId="0" fontId="0" fillId="37" borderId="0" xfId="0" applyFont="1" applyFill="1" applyAlignment="1">
      <alignment/>
    </xf>
    <xf numFmtId="0" fontId="0" fillId="36" borderId="12" xfId="0" applyFill="1" applyBorder="1" applyAlignment="1">
      <alignment/>
    </xf>
    <xf numFmtId="0" fontId="11" fillId="35" borderId="0" xfId="0" applyFont="1" applyFill="1" applyAlignment="1">
      <alignment/>
    </xf>
    <xf numFmtId="0" fontId="11" fillId="35" borderId="0" xfId="0" applyFont="1" applyFill="1" applyAlignment="1">
      <alignment horizontal="center"/>
    </xf>
    <xf numFmtId="0" fontId="11" fillId="35" borderId="0" xfId="0" applyFont="1" applyFill="1" applyBorder="1" applyAlignment="1">
      <alignment horizontal="center"/>
    </xf>
    <xf numFmtId="0" fontId="15" fillId="0" borderId="0" xfId="0" applyFont="1" applyAlignment="1">
      <alignment/>
    </xf>
    <xf numFmtId="1" fontId="15" fillId="0" borderId="0" xfId="0" applyNumberFormat="1" applyFont="1" applyAlignment="1">
      <alignment/>
    </xf>
    <xf numFmtId="3" fontId="0" fillId="0" borderId="0" xfId="0" applyNumberFormat="1" applyFill="1" applyAlignment="1">
      <alignment/>
    </xf>
    <xf numFmtId="0" fontId="0" fillId="36" borderId="0" xfId="0" applyFill="1" applyAlignment="1">
      <alignment/>
    </xf>
    <xf numFmtId="0" fontId="16" fillId="0" borderId="0" xfId="0" applyFont="1" applyAlignment="1">
      <alignment/>
    </xf>
    <xf numFmtId="0" fontId="0" fillId="0" borderId="0" xfId="0" applyFont="1" applyAlignment="1">
      <alignment/>
    </xf>
    <xf numFmtId="2" fontId="0" fillId="36" borderId="0" xfId="0" applyNumberFormat="1" applyFill="1" applyAlignment="1">
      <alignment/>
    </xf>
    <xf numFmtId="3" fontId="15" fillId="0" borderId="0" xfId="0" applyNumberFormat="1" applyFont="1" applyAlignment="1">
      <alignment/>
    </xf>
    <xf numFmtId="9" fontId="0" fillId="36" borderId="0" xfId="0" applyNumberFormat="1" applyFill="1" applyAlignment="1">
      <alignment/>
    </xf>
    <xf numFmtId="3" fontId="0" fillId="0" borderId="0" xfId="0" applyNumberFormat="1" applyAlignment="1">
      <alignment/>
    </xf>
    <xf numFmtId="1" fontId="0" fillId="0" borderId="0" xfId="0" applyNumberFormat="1" applyAlignment="1">
      <alignment/>
    </xf>
    <xf numFmtId="2" fontId="0" fillId="0" borderId="0" xfId="0" applyNumberFormat="1" applyFill="1" applyAlignment="1">
      <alignment/>
    </xf>
    <xf numFmtId="0" fontId="0" fillId="0" borderId="0" xfId="0" applyNumberFormat="1" applyAlignment="1">
      <alignment/>
    </xf>
    <xf numFmtId="0" fontId="0" fillId="0" borderId="0" xfId="0" applyFont="1" applyAlignment="1">
      <alignment wrapText="1"/>
    </xf>
    <xf numFmtId="37" fontId="0" fillId="0" borderId="0" xfId="0" applyNumberFormat="1" applyAlignment="1">
      <alignment/>
    </xf>
    <xf numFmtId="166" fontId="0" fillId="0" borderId="0" xfId="0" applyNumberFormat="1" applyAlignment="1">
      <alignment/>
    </xf>
    <xf numFmtId="9" fontId="0" fillId="0" borderId="0" xfId="0" applyNumberFormat="1" applyAlignment="1">
      <alignment/>
    </xf>
    <xf numFmtId="9" fontId="0" fillId="36" borderId="0" xfId="55" applyFont="1" applyFill="1" applyBorder="1" applyAlignment="1" applyProtection="1">
      <alignment/>
      <protection/>
    </xf>
    <xf numFmtId="166" fontId="15" fillId="0" borderId="0" xfId="0" applyNumberFormat="1" applyFont="1" applyAlignment="1">
      <alignment/>
    </xf>
    <xf numFmtId="0" fontId="14" fillId="35" borderId="0" xfId="0" applyFont="1" applyFill="1" applyBorder="1" applyAlignment="1">
      <alignment/>
    </xf>
    <xf numFmtId="0" fontId="15" fillId="0" borderId="0" xfId="0" applyFont="1" applyFill="1" applyAlignment="1">
      <alignment/>
    </xf>
    <xf numFmtId="0" fontId="14" fillId="0" borderId="0" xfId="0" applyFont="1" applyFill="1" applyAlignment="1">
      <alignment/>
    </xf>
    <xf numFmtId="0" fontId="20" fillId="0" borderId="0" xfId="0" applyFont="1" applyAlignment="1">
      <alignment/>
    </xf>
    <xf numFmtId="0" fontId="20" fillId="36" borderId="0" xfId="0" applyFont="1" applyFill="1" applyAlignment="1">
      <alignment/>
    </xf>
    <xf numFmtId="0" fontId="21" fillId="0" borderId="0" xfId="0" applyFont="1" applyAlignment="1">
      <alignment/>
    </xf>
    <xf numFmtId="0" fontId="22" fillId="0" borderId="0" xfId="0" applyFont="1" applyAlignment="1">
      <alignment/>
    </xf>
    <xf numFmtId="3" fontId="22" fillId="0" borderId="0" xfId="0" applyNumberFormat="1" applyFont="1" applyAlignment="1">
      <alignment/>
    </xf>
    <xf numFmtId="0" fontId="0" fillId="33" borderId="0" xfId="0" applyFill="1" applyAlignment="1">
      <alignment/>
    </xf>
    <xf numFmtId="2" fontId="0" fillId="0" borderId="0" xfId="0" applyNumberFormat="1" applyAlignment="1">
      <alignment/>
    </xf>
    <xf numFmtId="0" fontId="15" fillId="0" borderId="0" xfId="0" applyNumberFormat="1" applyFont="1" applyAlignment="1">
      <alignment/>
    </xf>
    <xf numFmtId="0" fontId="0" fillId="38" borderId="0" xfId="0" applyFill="1" applyAlignment="1">
      <alignment/>
    </xf>
    <xf numFmtId="0" fontId="13" fillId="38" borderId="0" xfId="0" applyFont="1" applyFill="1" applyAlignment="1">
      <alignment/>
    </xf>
    <xf numFmtId="165" fontId="13" fillId="38" borderId="0" xfId="45" applyFont="1" applyFill="1" applyBorder="1" applyAlignment="1" applyProtection="1">
      <alignment/>
      <protection/>
    </xf>
    <xf numFmtId="0" fontId="0" fillId="39" borderId="0" xfId="0" applyFill="1" applyBorder="1" applyAlignment="1">
      <alignment/>
    </xf>
    <xf numFmtId="1" fontId="13" fillId="40" borderId="0" xfId="45" applyNumberFormat="1" applyFont="1" applyFill="1" applyBorder="1" applyAlignment="1" applyProtection="1">
      <alignment/>
      <protection/>
    </xf>
    <xf numFmtId="1" fontId="13" fillId="38" borderId="0" xfId="45" applyNumberFormat="1" applyFont="1" applyFill="1" applyBorder="1" applyAlignment="1" applyProtection="1">
      <alignment/>
      <protection/>
    </xf>
    <xf numFmtId="166" fontId="0" fillId="41" borderId="12" xfId="45" applyNumberFormat="1" applyFont="1" applyFill="1" applyBorder="1" applyAlignment="1" applyProtection="1">
      <alignment/>
      <protection/>
    </xf>
    <xf numFmtId="166" fontId="0" fillId="41" borderId="12" xfId="45" applyNumberFormat="1" applyFont="1" applyFill="1" applyBorder="1" applyAlignment="1" applyProtection="1">
      <alignment/>
      <protection/>
    </xf>
    <xf numFmtId="0" fontId="0" fillId="41" borderId="0" xfId="0" applyFill="1" applyAlignment="1">
      <alignment/>
    </xf>
    <xf numFmtId="9" fontId="0" fillId="41" borderId="0" xfId="0" applyNumberFormat="1" applyFill="1" applyAlignment="1">
      <alignment/>
    </xf>
    <xf numFmtId="166" fontId="0" fillId="42" borderId="0" xfId="45" applyNumberFormat="1" applyFill="1" applyAlignment="1">
      <alignment/>
    </xf>
    <xf numFmtId="9" fontId="0" fillId="42" borderId="0" xfId="0" applyNumberFormat="1" applyFill="1" applyAlignment="1">
      <alignment/>
    </xf>
    <xf numFmtId="9" fontId="0" fillId="42" borderId="0" xfId="45" applyNumberFormat="1" applyFont="1" applyFill="1" applyBorder="1" applyAlignment="1" applyProtection="1">
      <alignment/>
      <protection/>
    </xf>
    <xf numFmtId="0" fontId="0" fillId="43" borderId="0" xfId="0" applyFill="1" applyAlignment="1">
      <alignment/>
    </xf>
    <xf numFmtId="0" fontId="13" fillId="40" borderId="0" xfId="0" applyFont="1" applyFill="1" applyAlignment="1">
      <alignment/>
    </xf>
    <xf numFmtId="166" fontId="13" fillId="44" borderId="0" xfId="45" applyNumberFormat="1" applyFont="1" applyFill="1" applyBorder="1" applyAlignment="1" applyProtection="1">
      <alignment/>
      <protection/>
    </xf>
    <xf numFmtId="165" fontId="13" fillId="40" borderId="0" xfId="45" applyFont="1" applyFill="1" applyBorder="1" applyAlignment="1" applyProtection="1">
      <alignment/>
      <protection/>
    </xf>
    <xf numFmtId="166" fontId="13" fillId="40" borderId="0" xfId="0" applyNumberFormat="1" applyFont="1" applyFill="1" applyAlignment="1">
      <alignment/>
    </xf>
    <xf numFmtId="0" fontId="19" fillId="40" borderId="0" xfId="0" applyFont="1" applyFill="1" applyAlignment="1">
      <alignment/>
    </xf>
    <xf numFmtId="3" fontId="13" fillId="40" borderId="0" xfId="0" applyNumberFormat="1" applyFont="1" applyFill="1" applyAlignment="1">
      <alignment/>
    </xf>
    <xf numFmtId="166" fontId="13" fillId="40" borderId="0" xfId="45" applyNumberFormat="1" applyFont="1" applyFill="1" applyBorder="1" applyAlignment="1" applyProtection="1">
      <alignment/>
      <protection/>
    </xf>
    <xf numFmtId="165" fontId="0" fillId="44" borderId="13" xfId="45" applyNumberFormat="1" applyFont="1" applyFill="1" applyBorder="1" applyAlignment="1" applyProtection="1">
      <alignment/>
      <protection/>
    </xf>
    <xf numFmtId="179" fontId="0" fillId="33" borderId="0" xfId="45" applyNumberFormat="1" applyFont="1" applyFill="1" applyBorder="1" applyAlignment="1" applyProtection="1">
      <alignment/>
      <protection/>
    </xf>
    <xf numFmtId="179" fontId="0" fillId="41" borderId="12" xfId="45" applyNumberFormat="1" applyFont="1" applyFill="1" applyBorder="1" applyAlignment="1" applyProtection="1">
      <alignment/>
      <protection/>
    </xf>
    <xf numFmtId="0" fontId="0" fillId="45" borderId="12" xfId="0" applyFont="1" applyFill="1" applyBorder="1" applyAlignment="1">
      <alignment/>
    </xf>
    <xf numFmtId="166" fontId="0" fillId="45" borderId="12" xfId="45" applyNumberFormat="1" applyFont="1" applyFill="1" applyBorder="1" applyAlignment="1" applyProtection="1">
      <alignment/>
      <protection/>
    </xf>
    <xf numFmtId="0" fontId="0" fillId="46" borderId="0" xfId="0" applyFont="1" applyFill="1" applyAlignment="1">
      <alignment/>
    </xf>
    <xf numFmtId="0" fontId="0" fillId="46" borderId="0" xfId="0" applyFill="1" applyAlignment="1">
      <alignment/>
    </xf>
    <xf numFmtId="9" fontId="0" fillId="43" borderId="0" xfId="0" applyNumberFormat="1" applyFill="1" applyAlignment="1">
      <alignment/>
    </xf>
    <xf numFmtId="0" fontId="0" fillId="35" borderId="0" xfId="0" applyFill="1" applyBorder="1" applyAlignment="1">
      <alignment/>
    </xf>
    <xf numFmtId="0" fontId="12" fillId="35" borderId="0" xfId="0" applyFont="1" applyFill="1" applyBorder="1" applyAlignment="1">
      <alignment/>
    </xf>
    <xf numFmtId="3" fontId="0" fillId="39" borderId="13" xfId="0" applyNumberFormat="1" applyFill="1" applyBorder="1" applyAlignment="1">
      <alignment/>
    </xf>
    <xf numFmtId="179" fontId="0" fillId="41" borderId="13" xfId="45" applyNumberFormat="1" applyFont="1" applyFill="1" applyBorder="1" applyAlignment="1" applyProtection="1">
      <alignment/>
      <protection/>
    </xf>
    <xf numFmtId="1" fontId="0" fillId="36" borderId="0" xfId="0" applyNumberFormat="1" applyFill="1" applyAlignment="1">
      <alignment/>
    </xf>
    <xf numFmtId="1" fontId="0" fillId="0" borderId="0" xfId="0" applyNumberFormat="1" applyFill="1" applyAlignment="1">
      <alignment/>
    </xf>
    <xf numFmtId="0" fontId="0" fillId="0" borderId="0" xfId="0" applyFont="1" applyFill="1" applyBorder="1" applyAlignment="1">
      <alignment/>
    </xf>
    <xf numFmtId="166" fontId="0" fillId="33" borderId="0" xfId="0" applyNumberFormat="1" applyFont="1" applyFill="1" applyAlignment="1">
      <alignment/>
    </xf>
    <xf numFmtId="0" fontId="0"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1876425</xdr:colOff>
      <xdr:row>5</xdr:row>
      <xdr:rowOff>57150</xdr:rowOff>
    </xdr:to>
    <xdr:pic>
      <xdr:nvPicPr>
        <xdr:cNvPr id="1" name="Picture 24"/>
        <xdr:cNvPicPr preferRelativeResize="1">
          <a:picLocks noChangeAspect="1"/>
        </xdr:cNvPicPr>
      </xdr:nvPicPr>
      <xdr:blipFill>
        <a:blip r:embed="rId1"/>
        <a:stretch>
          <a:fillRect/>
        </a:stretch>
      </xdr:blipFill>
      <xdr:spPr>
        <a:xfrm>
          <a:off x="0" y="161925"/>
          <a:ext cx="1876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1266825</xdr:colOff>
      <xdr:row>1</xdr:row>
      <xdr:rowOff>180975</xdr:rowOff>
    </xdr:to>
    <xdr:pic>
      <xdr:nvPicPr>
        <xdr:cNvPr id="1" name="Picture 1"/>
        <xdr:cNvPicPr preferRelativeResize="1">
          <a:picLocks noChangeAspect="1"/>
        </xdr:cNvPicPr>
      </xdr:nvPicPr>
      <xdr:blipFill>
        <a:blip r:embed="rId1"/>
        <a:stretch>
          <a:fillRect/>
        </a:stretch>
      </xdr:blipFill>
      <xdr:spPr>
        <a:xfrm>
          <a:off x="9525" y="0"/>
          <a:ext cx="1257300" cy="523875"/>
        </a:xfrm>
        <a:prstGeom prst="rect">
          <a:avLst/>
        </a:prstGeom>
        <a:noFill/>
        <a:ln w="9525" cmpd="sng">
          <a:noFill/>
        </a:ln>
      </xdr:spPr>
    </xdr:pic>
    <xdr:clientData/>
  </xdr:twoCellAnchor>
  <xdr:twoCellAnchor>
    <xdr:from>
      <xdr:col>0</xdr:col>
      <xdr:colOff>0</xdr:colOff>
      <xdr:row>0</xdr:row>
      <xdr:rowOff>0</xdr:rowOff>
    </xdr:from>
    <xdr:to>
      <xdr:col>0</xdr:col>
      <xdr:colOff>1257300</xdr:colOff>
      <xdr:row>2</xdr:row>
      <xdr:rowOff>0</xdr:rowOff>
    </xdr:to>
    <xdr:pic>
      <xdr:nvPicPr>
        <xdr:cNvPr id="2" name="Picture 1"/>
        <xdr:cNvPicPr preferRelativeResize="1">
          <a:picLocks noChangeAspect="1"/>
        </xdr:cNvPicPr>
      </xdr:nvPicPr>
      <xdr:blipFill>
        <a:blip r:embed="rId1"/>
        <a:stretch>
          <a:fillRect/>
        </a:stretch>
      </xdr:blipFill>
      <xdr:spPr>
        <a:xfrm>
          <a:off x="0" y="0"/>
          <a:ext cx="125730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1247775</xdr:colOff>
      <xdr:row>1</xdr:row>
      <xdr:rowOff>161925</xdr:rowOff>
    </xdr:to>
    <xdr:pic>
      <xdr:nvPicPr>
        <xdr:cNvPr id="1" name="Picture 1"/>
        <xdr:cNvPicPr preferRelativeResize="1">
          <a:picLocks noChangeAspect="1"/>
        </xdr:cNvPicPr>
      </xdr:nvPicPr>
      <xdr:blipFill>
        <a:blip r:embed="rId1"/>
        <a:stretch>
          <a:fillRect/>
        </a:stretch>
      </xdr:blipFill>
      <xdr:spPr>
        <a:xfrm>
          <a:off x="0" y="0"/>
          <a:ext cx="1247775" cy="504825"/>
        </a:xfrm>
        <a:prstGeom prst="rect">
          <a:avLst/>
        </a:prstGeom>
        <a:noFill/>
        <a:ln w="9525" cmpd="sng">
          <a:noFill/>
        </a:ln>
      </xdr:spPr>
    </xdr:pic>
    <xdr:clientData/>
  </xdr:twoCellAnchor>
  <xdr:twoCellAnchor>
    <xdr:from>
      <xdr:col>0</xdr:col>
      <xdr:colOff>0</xdr:colOff>
      <xdr:row>0</xdr:row>
      <xdr:rowOff>0</xdr:rowOff>
    </xdr:from>
    <xdr:to>
      <xdr:col>0</xdr:col>
      <xdr:colOff>1247775</xdr:colOff>
      <xdr:row>1</xdr:row>
      <xdr:rowOff>161925</xdr:rowOff>
    </xdr:to>
    <xdr:pic>
      <xdr:nvPicPr>
        <xdr:cNvPr id="2" name="Picture 1"/>
        <xdr:cNvPicPr preferRelativeResize="1">
          <a:picLocks noChangeAspect="1"/>
        </xdr:cNvPicPr>
      </xdr:nvPicPr>
      <xdr:blipFill>
        <a:blip r:embed="rId1"/>
        <a:stretch>
          <a:fillRect/>
        </a:stretch>
      </xdr:blipFill>
      <xdr:spPr>
        <a:xfrm>
          <a:off x="0" y="0"/>
          <a:ext cx="12477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1285875</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76350" cy="533400"/>
        </a:xfrm>
        <a:prstGeom prst="rect">
          <a:avLst/>
        </a:prstGeom>
        <a:noFill/>
        <a:ln w="9525" cmpd="sng">
          <a:noFill/>
        </a:ln>
      </xdr:spPr>
    </xdr:pic>
    <xdr:clientData/>
  </xdr:twoCellAnchor>
  <xdr:twoCellAnchor>
    <xdr:from>
      <xdr:col>0</xdr:col>
      <xdr:colOff>9525</xdr:colOff>
      <xdr:row>0</xdr:row>
      <xdr:rowOff>0</xdr:rowOff>
    </xdr:from>
    <xdr:to>
      <xdr:col>0</xdr:col>
      <xdr:colOff>1285875</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763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1276350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66825" cy="533400"/>
        </a:xfrm>
        <a:prstGeom prst="rect">
          <a:avLst/>
        </a:prstGeom>
        <a:noFill/>
        <a:ln w="9525" cmpd="sng">
          <a:noFill/>
        </a:ln>
      </xdr:spPr>
    </xdr:pic>
    <xdr:clientData/>
  </xdr:twoCellAnchor>
  <xdr:twoCellAnchor>
    <xdr:from>
      <xdr:col>0</xdr:col>
      <xdr:colOff>9525</xdr:colOff>
      <xdr:row>0</xdr:row>
      <xdr:rowOff>0</xdr:rowOff>
    </xdr:from>
    <xdr:to>
      <xdr:col>0</xdr:col>
      <xdr:colOff>1276350</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668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57150</xdr:colOff>
      <xdr:row>2</xdr:row>
      <xdr:rowOff>38100</xdr:rowOff>
    </xdr:to>
    <xdr:pic>
      <xdr:nvPicPr>
        <xdr:cNvPr id="1" name="Picture 1"/>
        <xdr:cNvPicPr preferRelativeResize="1">
          <a:picLocks noChangeAspect="1"/>
        </xdr:cNvPicPr>
      </xdr:nvPicPr>
      <xdr:blipFill>
        <a:blip r:embed="rId1"/>
        <a:stretch>
          <a:fillRect/>
        </a:stretch>
      </xdr:blipFill>
      <xdr:spPr>
        <a:xfrm>
          <a:off x="0" y="9525"/>
          <a:ext cx="1371600" cy="561975"/>
        </a:xfrm>
        <a:prstGeom prst="rect">
          <a:avLst/>
        </a:prstGeom>
        <a:noFill/>
        <a:ln w="9525" cmpd="sng">
          <a:noFill/>
        </a:ln>
      </xdr:spPr>
    </xdr:pic>
    <xdr:clientData/>
  </xdr:twoCellAnchor>
  <xdr:twoCellAnchor>
    <xdr:from>
      <xdr:col>0</xdr:col>
      <xdr:colOff>0</xdr:colOff>
      <xdr:row>0</xdr:row>
      <xdr:rowOff>0</xdr:rowOff>
    </xdr:from>
    <xdr:to>
      <xdr:col>1</xdr:col>
      <xdr:colOff>57150</xdr:colOff>
      <xdr:row>2</xdr:row>
      <xdr:rowOff>28575</xdr:rowOff>
    </xdr:to>
    <xdr:pic>
      <xdr:nvPicPr>
        <xdr:cNvPr id="2" name="Picture 1"/>
        <xdr:cNvPicPr preferRelativeResize="1">
          <a:picLocks noChangeAspect="1"/>
        </xdr:cNvPicPr>
      </xdr:nvPicPr>
      <xdr:blipFill>
        <a:blip r:embed="rId1"/>
        <a:stretch>
          <a:fillRect/>
        </a:stretch>
      </xdr:blipFill>
      <xdr:spPr>
        <a:xfrm>
          <a:off x="0" y="0"/>
          <a:ext cx="13716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1" sqref="A1"/>
    </sheetView>
  </sheetViews>
  <sheetFormatPr defaultColWidth="9.140625" defaultRowHeight="15"/>
  <cols>
    <col min="1" max="1" width="90.140625" style="1" customWidth="1"/>
    <col min="2" max="16384" width="9.140625" style="1" customWidth="1"/>
  </cols>
  <sheetData>
    <row r="1" ht="12.75">
      <c r="A1" s="2"/>
    </row>
    <row r="2" ht="12.75">
      <c r="A2" s="2"/>
    </row>
    <row r="3" ht="23.25">
      <c r="A3" s="3"/>
    </row>
    <row r="4" ht="12.75">
      <c r="A4" s="2"/>
    </row>
    <row r="5" ht="12.75">
      <c r="A5" s="2"/>
    </row>
    <row r="6" ht="12.75">
      <c r="A6" s="2"/>
    </row>
    <row r="7" ht="98.25" customHeight="1">
      <c r="A7" s="4" t="s">
        <v>151</v>
      </c>
    </row>
    <row r="8" ht="31.5">
      <c r="A8" s="5" t="s">
        <v>163</v>
      </c>
    </row>
    <row r="9" ht="31.5">
      <c r="A9" s="6" t="s">
        <v>0</v>
      </c>
    </row>
    <row r="10" ht="31.5">
      <c r="A10" s="5" t="s">
        <v>176</v>
      </c>
    </row>
    <row r="11" ht="31.5">
      <c r="A11" s="6"/>
    </row>
    <row r="12" ht="63">
      <c r="A12" s="7" t="s">
        <v>1</v>
      </c>
    </row>
    <row r="13" ht="15.75">
      <c r="A13" s="8"/>
    </row>
    <row r="14" ht="12.75">
      <c r="A14" s="9" t="s">
        <v>2</v>
      </c>
    </row>
    <row r="15" ht="12.75">
      <c r="A15" s="10" t="s">
        <v>3</v>
      </c>
    </row>
    <row r="18" ht="15.75">
      <c r="A18" s="11"/>
    </row>
    <row r="19" ht="15.75">
      <c r="A19" s="11"/>
    </row>
    <row r="20" ht="12.75">
      <c r="A20" s="2"/>
    </row>
    <row r="21" ht="12.75">
      <c r="A21" s="2"/>
    </row>
    <row r="22" ht="12.75">
      <c r="A22" s="2"/>
    </row>
    <row r="23" ht="15.75">
      <c r="A23" s="12" t="s">
        <v>4</v>
      </c>
    </row>
    <row r="24" ht="12.75">
      <c r="A24" s="13" t="s">
        <v>5</v>
      </c>
    </row>
    <row r="25" ht="15.75">
      <c r="A25" s="12"/>
    </row>
    <row r="27" ht="12.75">
      <c r="A27" s="2"/>
    </row>
    <row r="28" ht="12.75">
      <c r="A28" s="14" t="s">
        <v>6</v>
      </c>
    </row>
  </sheetData>
  <sheetProtection selectLockedCells="1" selectUnlockedCells="1"/>
  <hyperlinks>
    <hyperlink ref="A24" r:id="rId1" display="phoff@groasis.com"/>
  </hyperlinks>
  <printOptions/>
  <pageMargins left="0.75" right="0.75" top="1" bottom="1"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C23" sqref="C23"/>
    </sheetView>
  </sheetViews>
  <sheetFormatPr defaultColWidth="9.140625" defaultRowHeight="15"/>
  <cols>
    <col min="1" max="1" width="55.57421875" style="0" customWidth="1"/>
    <col min="2" max="2" width="16.140625" style="0" customWidth="1"/>
    <col min="3" max="3" width="19.57421875" style="0" customWidth="1"/>
    <col min="4" max="4" width="4.28125" style="0" customWidth="1"/>
  </cols>
  <sheetData>
    <row r="1" spans="1:5" s="16" customFormat="1" ht="27" customHeight="1">
      <c r="A1" s="15" t="s">
        <v>7</v>
      </c>
      <c r="B1" s="15"/>
      <c r="C1" s="15"/>
      <c r="D1" s="96"/>
      <c r="E1" s="96"/>
    </row>
    <row r="2" spans="1:5" s="16" customFormat="1" ht="14.25" customHeight="1">
      <c r="A2" s="15" t="s">
        <v>8</v>
      </c>
      <c r="B2" s="15"/>
      <c r="C2" s="15"/>
      <c r="D2" s="96"/>
      <c r="E2" s="96"/>
    </row>
    <row r="3" s="16" customFormat="1" ht="15"/>
    <row r="4" s="16" customFormat="1" ht="15">
      <c r="A4" s="17" t="s">
        <v>9</v>
      </c>
    </row>
    <row r="5" spans="1:5" s="16" customFormat="1" ht="30.75" customHeight="1">
      <c r="A5" s="98" t="s">
        <v>10</v>
      </c>
      <c r="B5" s="98"/>
      <c r="C5" s="98"/>
      <c r="D5" s="98"/>
      <c r="E5" s="98"/>
    </row>
    <row r="6" ht="15" customHeight="1"/>
    <row r="7" ht="15" customHeight="1" thickBot="1">
      <c r="A7" t="s">
        <v>34</v>
      </c>
    </row>
    <row r="8" spans="1:3" ht="15" customHeight="1" thickBot="1">
      <c r="A8" t="s">
        <v>35</v>
      </c>
      <c r="C8" s="93"/>
    </row>
    <row r="10" ht="15.75" thickBot="1">
      <c r="A10" s="18" t="s">
        <v>11</v>
      </c>
    </row>
    <row r="11" spans="1:5" ht="15.75" thickBot="1">
      <c r="A11" s="67" t="s">
        <v>12</v>
      </c>
      <c r="B11" s="58" t="s">
        <v>41</v>
      </c>
      <c r="C11" s="68">
        <v>2000000000</v>
      </c>
      <c r="E11" s="21" t="s">
        <v>13</v>
      </c>
    </row>
    <row r="12" spans="1:5" ht="15.75" thickBot="1">
      <c r="A12" s="19" t="s">
        <v>14</v>
      </c>
      <c r="B12" s="20" t="s">
        <v>15</v>
      </c>
      <c r="C12" s="68">
        <v>60</v>
      </c>
      <c r="E12" s="21" t="s">
        <v>16</v>
      </c>
    </row>
    <row r="13" spans="1:5" ht="15.75" thickBot="1">
      <c r="A13" s="19" t="s">
        <v>17</v>
      </c>
      <c r="B13" s="20" t="s">
        <v>18</v>
      </c>
      <c r="C13" s="84">
        <v>5</v>
      </c>
      <c r="E13" s="21" t="s">
        <v>19</v>
      </c>
    </row>
    <row r="14" spans="1:5" ht="15.75" thickBot="1">
      <c r="A14" s="19" t="s">
        <v>20</v>
      </c>
      <c r="B14" s="20"/>
      <c r="C14" s="68">
        <v>250</v>
      </c>
      <c r="E14" s="21" t="s">
        <v>21</v>
      </c>
    </row>
    <row r="15" spans="1:5" ht="15.75" thickBot="1">
      <c r="A15" s="19" t="s">
        <v>22</v>
      </c>
      <c r="B15" s="20"/>
      <c r="C15" s="68">
        <v>46</v>
      </c>
      <c r="E15" s="21" t="s">
        <v>23</v>
      </c>
    </row>
    <row r="16" spans="1:4" ht="15">
      <c r="A16" s="22" t="s">
        <v>24</v>
      </c>
      <c r="B16" s="20" t="s">
        <v>25</v>
      </c>
      <c r="C16" s="83">
        <f>Werkgelegenheid!C13</f>
        <v>724637.6811594203</v>
      </c>
      <c r="D16" s="21"/>
    </row>
    <row r="17" spans="1:3" ht="15">
      <c r="A17" s="20" t="s">
        <v>26</v>
      </c>
      <c r="B17" s="20" t="s">
        <v>27</v>
      </c>
      <c r="C17" s="22">
        <f>C25/C12</f>
        <v>56275.199591666664</v>
      </c>
    </row>
    <row r="18" spans="1:3" ht="15">
      <c r="A18" s="20" t="s">
        <v>28</v>
      </c>
      <c r="B18" s="20" t="s">
        <v>18</v>
      </c>
      <c r="C18" s="22">
        <f>(C25*1000000)/C11</f>
        <v>1688.2559877499998</v>
      </c>
    </row>
    <row r="19" spans="1:3" ht="15">
      <c r="A19" s="20" t="s">
        <v>29</v>
      </c>
      <c r="B19" s="58" t="s">
        <v>172</v>
      </c>
      <c r="C19" s="22">
        <f>Werkgelegenheid!C53</f>
        <v>7481233.666666667</v>
      </c>
    </row>
    <row r="20" spans="1:3" ht="15">
      <c r="A20" s="20" t="s">
        <v>30</v>
      </c>
      <c r="B20" s="20" t="s">
        <v>31</v>
      </c>
      <c r="C20" s="22">
        <f>Kwekerij!C26</f>
        <v>77717391.30434781</v>
      </c>
    </row>
    <row r="21" spans="1:3" ht="15">
      <c r="A21" s="20" t="s">
        <v>170</v>
      </c>
      <c r="B21" s="20">
        <v>15</v>
      </c>
      <c r="C21" s="22">
        <f>C11*B21</f>
        <v>30000000000</v>
      </c>
    </row>
    <row r="22" spans="1:3" ht="15.75" thickBot="1">
      <c r="A22" s="88" t="s">
        <v>171</v>
      </c>
      <c r="B22" s="97">
        <f>50+(C12/2)</f>
        <v>80</v>
      </c>
      <c r="C22" s="22">
        <f>C21*B22</f>
        <v>2400000000000</v>
      </c>
    </row>
    <row r="23" spans="1:3" ht="15.75" thickBot="1">
      <c r="A23" s="88" t="s">
        <v>173</v>
      </c>
      <c r="B23" s="87"/>
      <c r="C23" s="82">
        <f>(C25*1000000)/C22</f>
        <v>1.4068799897916664</v>
      </c>
    </row>
    <row r="24" spans="1:3" ht="15.75" thickBot="1">
      <c r="A24" s="20" t="s">
        <v>32</v>
      </c>
      <c r="B24" s="20"/>
      <c r="C24" s="22">
        <f>'Kosten van het planten'!C16*'Kosten van het planten'!C22*'Kosten van het planten'!C8</f>
        <v>900000000000</v>
      </c>
    </row>
    <row r="25" spans="1:3" ht="15">
      <c r="A25" s="85" t="s">
        <v>33</v>
      </c>
      <c r="B25" s="85" t="s">
        <v>27</v>
      </c>
      <c r="C25" s="86">
        <f>'Kosten van het planten'!C59*'Kosten van het planten'!C8/1000000</f>
        <v>3376511.9754999997</v>
      </c>
    </row>
    <row r="26" spans="1:3" s="25" customFormat="1" ht="15">
      <c r="A26" s="23"/>
      <c r="B26" s="23"/>
      <c r="C26" s="24"/>
    </row>
    <row r="27" ht="15">
      <c r="A27" s="18"/>
    </row>
    <row r="28" spans="1:3" ht="15">
      <c r="A28" s="26"/>
      <c r="B28" s="25"/>
      <c r="C28" s="64"/>
    </row>
  </sheetData>
  <sheetProtection selectLockedCells="1" selectUnlockedCells="1"/>
  <mergeCells count="1">
    <mergeCell ref="A5:E5"/>
  </mergeCells>
  <printOptions/>
  <pageMargins left="0.7" right="0.7" top="0.75" bottom="0.75" header="0.5118055555555555" footer="0.511805555555555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P61"/>
  <sheetViews>
    <sheetView zoomScalePageLayoutView="0" workbookViewId="0" topLeftCell="A1">
      <selection activeCell="A1" sqref="A1"/>
    </sheetView>
  </sheetViews>
  <sheetFormatPr defaultColWidth="37.28125" defaultRowHeight="15"/>
  <cols>
    <col min="1" max="1" width="51.57421875" style="0" customWidth="1"/>
    <col min="2" max="2" width="14.00390625" style="0" customWidth="1"/>
    <col min="3" max="3" width="17.140625" style="0" customWidth="1"/>
    <col min="4" max="4" width="7.57421875" style="0" customWidth="1"/>
    <col min="5" max="5" width="10.00390625" style="0" customWidth="1"/>
    <col min="6" max="6" width="11.00390625" style="0" customWidth="1"/>
    <col min="7" max="7" width="11.28125" style="0" customWidth="1"/>
    <col min="8" max="8" width="9.8515625" style="0" customWidth="1"/>
    <col min="9" max="9" width="8.57421875" style="0" customWidth="1"/>
    <col min="10" max="10" width="8.421875" style="0" customWidth="1"/>
    <col min="11" max="11" width="10.421875" style="0" customWidth="1"/>
    <col min="12" max="12" width="9.140625" style="0" customWidth="1"/>
    <col min="13" max="13" width="11.421875" style="0" customWidth="1"/>
    <col min="14" max="14" width="11.00390625" style="0" customWidth="1"/>
    <col min="15" max="15" width="10.140625" style="0" customWidth="1"/>
  </cols>
  <sheetData>
    <row r="1" spans="1:5" s="16" customFormat="1" ht="27" customHeight="1">
      <c r="A1" s="15" t="s">
        <v>7</v>
      </c>
      <c r="B1" s="15"/>
      <c r="C1" s="15"/>
      <c r="D1" s="96"/>
      <c r="E1" s="96"/>
    </row>
    <row r="2" spans="1:5" s="16" customFormat="1" ht="15">
      <c r="A2" s="15" t="s">
        <v>8</v>
      </c>
      <c r="B2" s="15"/>
      <c r="C2" s="15"/>
      <c r="D2" s="96"/>
      <c r="E2" s="96"/>
    </row>
    <row r="4" ht="15">
      <c r="A4" t="s">
        <v>36</v>
      </c>
    </row>
    <row r="6" spans="1:3" ht="15">
      <c r="A6" s="28" t="s">
        <v>37</v>
      </c>
      <c r="B6" s="29" t="s">
        <v>38</v>
      </c>
      <c r="C6" s="30" t="s">
        <v>39</v>
      </c>
    </row>
    <row r="8" spans="1:3" ht="15">
      <c r="A8" t="s">
        <v>40</v>
      </c>
      <c r="B8" t="s">
        <v>41</v>
      </c>
      <c r="C8" s="24">
        <f>'Inleiding en Kerngegevens'!C11</f>
        <v>2000000000</v>
      </c>
    </row>
    <row r="9" spans="1:3" ht="15">
      <c r="A9" t="s">
        <v>42</v>
      </c>
      <c r="B9" t="s">
        <v>15</v>
      </c>
      <c r="C9" s="24">
        <f>'Inleiding en Kerngegevens'!C12</f>
        <v>60</v>
      </c>
    </row>
    <row r="11" spans="1:3" ht="15">
      <c r="A11" t="s">
        <v>43</v>
      </c>
      <c r="B11" t="s">
        <v>18</v>
      </c>
      <c r="C11" s="24">
        <f>Werkgelegenheid!C42*'Inleiding en Kerngegevens'!C13</f>
        <v>40</v>
      </c>
    </row>
    <row r="12" spans="1:3" ht="15">
      <c r="A12" s="31" t="s">
        <v>44</v>
      </c>
      <c r="B12" s="31" t="s">
        <v>18</v>
      </c>
      <c r="C12" s="32">
        <f>C11</f>
        <v>40</v>
      </c>
    </row>
    <row r="14" spans="1:3" ht="15">
      <c r="A14" t="s">
        <v>45</v>
      </c>
      <c r="C14" s="33">
        <f>'Inleiding en Kerngegevens'!C14</f>
        <v>250</v>
      </c>
    </row>
    <row r="15" spans="1:14" ht="15">
      <c r="A15" t="s">
        <v>46</v>
      </c>
      <c r="C15" s="34">
        <v>2</v>
      </c>
      <c r="E15" s="21" t="s">
        <v>47</v>
      </c>
      <c r="M15" s="35">
        <v>1</v>
      </c>
      <c r="N15" s="35">
        <v>2</v>
      </c>
    </row>
    <row r="16" spans="1:3" ht="15">
      <c r="A16" t="s">
        <v>48</v>
      </c>
      <c r="C16" s="33">
        <f>C14*C15</f>
        <v>500</v>
      </c>
    </row>
    <row r="17" spans="1:14" ht="15">
      <c r="A17" t="s">
        <v>49</v>
      </c>
      <c r="C17" s="34">
        <v>2</v>
      </c>
      <c r="E17" s="21" t="s">
        <v>50</v>
      </c>
      <c r="M17" s="35">
        <v>1</v>
      </c>
      <c r="N17" s="35">
        <v>2</v>
      </c>
    </row>
    <row r="18" spans="1:5" ht="15">
      <c r="A18" t="s">
        <v>51</v>
      </c>
      <c r="B18" t="s">
        <v>18</v>
      </c>
      <c r="C18" s="34">
        <v>0.25</v>
      </c>
      <c r="E18" s="21" t="s">
        <v>52</v>
      </c>
    </row>
    <row r="19" spans="1:5" ht="15">
      <c r="A19" t="s">
        <v>53</v>
      </c>
      <c r="B19" t="s">
        <v>18</v>
      </c>
      <c r="C19" s="37">
        <v>0.25</v>
      </c>
      <c r="E19" s="21" t="s">
        <v>52</v>
      </c>
    </row>
    <row r="20" spans="1:3" ht="15">
      <c r="A20" s="31" t="s">
        <v>54</v>
      </c>
      <c r="B20" s="31" t="s">
        <v>18</v>
      </c>
      <c r="C20" s="60">
        <f>IF(C17=M17,(C16*C18),(((C16/2)*C18)+((C16/2)*C19)))</f>
        <v>125</v>
      </c>
    </row>
    <row r="22" spans="1:3" ht="15">
      <c r="A22" t="s">
        <v>55</v>
      </c>
      <c r="B22" t="s">
        <v>56</v>
      </c>
      <c r="C22" s="39">
        <v>0.9</v>
      </c>
    </row>
    <row r="23" spans="1:3" ht="15">
      <c r="A23" t="s">
        <v>57</v>
      </c>
      <c r="C23" s="40">
        <f>C22*C16</f>
        <v>450</v>
      </c>
    </row>
    <row r="24" spans="1:3" ht="15">
      <c r="A24" t="s">
        <v>58</v>
      </c>
      <c r="B24" t="s">
        <v>31</v>
      </c>
      <c r="C24" s="41">
        <f>ROUND(10000/(C16*C22),0)</f>
        <v>22</v>
      </c>
    </row>
    <row r="26" spans="1:5" s="53" customFormat="1" ht="15">
      <c r="A26" s="53" t="s">
        <v>59</v>
      </c>
      <c r="B26" s="53" t="s">
        <v>18</v>
      </c>
      <c r="C26" s="54">
        <v>15</v>
      </c>
      <c r="E26" s="55" t="s">
        <v>60</v>
      </c>
    </row>
    <row r="27" spans="1:5" s="53" customFormat="1" ht="15">
      <c r="A27" s="56" t="s">
        <v>61</v>
      </c>
      <c r="B27" s="56" t="s">
        <v>18</v>
      </c>
      <c r="C27" s="57">
        <f>(((C26/10)+5%)*C14)</f>
        <v>387.5</v>
      </c>
      <c r="E27" s="55" t="s">
        <v>164</v>
      </c>
    </row>
    <row r="29" spans="1:3" ht="15">
      <c r="A29" t="s">
        <v>62</v>
      </c>
      <c r="C29" s="40">
        <f>C14</f>
        <v>250</v>
      </c>
    </row>
    <row r="30" spans="1:3" ht="15">
      <c r="A30" t="s">
        <v>63</v>
      </c>
      <c r="B30" t="s">
        <v>18</v>
      </c>
      <c r="C30" s="37">
        <v>0.18</v>
      </c>
    </row>
    <row r="31" spans="1:3" ht="15">
      <c r="A31" t="s">
        <v>64</v>
      </c>
      <c r="B31" t="s">
        <v>18</v>
      </c>
      <c r="C31" s="42">
        <f>'Inleiding en Kerngegevens'!C13/Werkgelegenheid!C23</f>
        <v>0.16666666666666666</v>
      </c>
    </row>
    <row r="32" spans="1:3" ht="15">
      <c r="A32" s="31" t="s">
        <v>65</v>
      </c>
      <c r="B32" s="31" t="s">
        <v>18</v>
      </c>
      <c r="C32" s="32">
        <f>C29*(C30+C31)</f>
        <v>86.66666666666667</v>
      </c>
    </row>
    <row r="34" spans="1:3" ht="15">
      <c r="A34" t="s">
        <v>66</v>
      </c>
      <c r="B34" s="36" t="s">
        <v>18</v>
      </c>
      <c r="C34" s="59">
        <f>'Inleiding en Kerngegevens'!C13/Werkgelegenheid!C28</f>
        <v>0.625</v>
      </c>
    </row>
    <row r="35" spans="1:3" ht="30">
      <c r="A35" s="44" t="s">
        <v>67</v>
      </c>
      <c r="B35" s="36" t="s">
        <v>18</v>
      </c>
      <c r="C35" s="42">
        <f>Werkgelegenheid!C49/Werkgelegenheid!C29</f>
        <v>0.546875</v>
      </c>
    </row>
    <row r="36" spans="1:3" ht="15">
      <c r="A36" s="31" t="s">
        <v>68</v>
      </c>
      <c r="B36" s="31" t="s">
        <v>18</v>
      </c>
      <c r="C36" s="38">
        <f>(C34+C35)*C14</f>
        <v>292.96875</v>
      </c>
    </row>
    <row r="38" spans="1:16" ht="15">
      <c r="A38" t="s">
        <v>69</v>
      </c>
      <c r="B38" t="s">
        <v>70</v>
      </c>
      <c r="C38" s="34">
        <v>60</v>
      </c>
      <c r="E38" s="52" t="s">
        <v>160</v>
      </c>
      <c r="F38" s="25"/>
      <c r="G38" s="25"/>
      <c r="H38" s="25"/>
      <c r="I38" s="25"/>
      <c r="J38" s="25"/>
      <c r="K38" s="25"/>
      <c r="L38" s="25"/>
      <c r="M38" s="25"/>
      <c r="N38" s="25"/>
      <c r="O38" s="25"/>
      <c r="P38" s="25"/>
    </row>
    <row r="39" spans="1:3" ht="15">
      <c r="A39" t="s">
        <v>161</v>
      </c>
      <c r="B39" s="36" t="s">
        <v>18</v>
      </c>
      <c r="C39" s="69">
        <v>0.01</v>
      </c>
    </row>
    <row r="40" spans="1:3" ht="15">
      <c r="A40" s="31" t="s">
        <v>71</v>
      </c>
      <c r="B40" s="31" t="s">
        <v>18</v>
      </c>
      <c r="C40" s="31">
        <f>C39*(C38*C14)</f>
        <v>150</v>
      </c>
    </row>
    <row r="42" spans="1:3" ht="15">
      <c r="A42" s="31" t="s">
        <v>162</v>
      </c>
      <c r="B42" s="31"/>
      <c r="C42" s="31">
        <f>(C14/Werkgelegenheid!C39)*'Inleiding en Kerngegevens'!C13</f>
        <v>62.5</v>
      </c>
    </row>
    <row r="44" spans="1:3" ht="15">
      <c r="A44" s="31" t="s">
        <v>165</v>
      </c>
      <c r="B44" t="s">
        <v>18</v>
      </c>
      <c r="C44" s="69">
        <v>0.3</v>
      </c>
    </row>
    <row r="45" spans="1:3" ht="15">
      <c r="A45" s="31" t="s">
        <v>166</v>
      </c>
      <c r="B45" s="31" t="s">
        <v>18</v>
      </c>
      <c r="C45" s="31">
        <f>C16*C44</f>
        <v>150</v>
      </c>
    </row>
    <row r="47" spans="1:3" ht="15">
      <c r="A47" t="s">
        <v>153</v>
      </c>
      <c r="C47" s="34">
        <v>0.05</v>
      </c>
    </row>
    <row r="48" spans="1:3" ht="15">
      <c r="A48" t="s">
        <v>154</v>
      </c>
      <c r="C48">
        <f>'Inleiding en Kerngegevens'!$C$13/('Kosten van het planten'!C14/Werkgelegenheid!C32)</f>
        <v>0.24000000000000002</v>
      </c>
    </row>
    <row r="49" spans="1:3" ht="15">
      <c r="A49" s="31" t="s">
        <v>155</v>
      </c>
      <c r="B49" s="31"/>
      <c r="C49" s="31">
        <f>(C47+C48)*C14</f>
        <v>72.50000000000001</v>
      </c>
    </row>
    <row r="51" spans="1:5" ht="15">
      <c r="A51" s="31" t="s">
        <v>72</v>
      </c>
      <c r="B51" s="36" t="s">
        <v>18</v>
      </c>
      <c r="C51" s="32">
        <f>('Management werkdiagram'!E28+'Management werkdiagram'!H28)/'Management werkdiagram'!C7</f>
        <v>72.128</v>
      </c>
      <c r="E51" s="21" t="s">
        <v>169</v>
      </c>
    </row>
    <row r="52" spans="1:5" ht="15">
      <c r="A52" s="31"/>
      <c r="B52" s="31"/>
      <c r="C52" s="32"/>
      <c r="E52" s="21"/>
    </row>
    <row r="53" spans="1:3" ht="15">
      <c r="A53" t="s">
        <v>167</v>
      </c>
      <c r="B53" t="s">
        <v>56</v>
      </c>
      <c r="C53" s="39">
        <v>0.02</v>
      </c>
    </row>
    <row r="54" spans="1:3" ht="15">
      <c r="A54" s="31" t="s">
        <v>168</v>
      </c>
      <c r="B54" s="31" t="s">
        <v>18</v>
      </c>
      <c r="C54" s="32">
        <f>C53*(C51+C49+C45+C42+C40+C36+C32+C27+C20+C12)</f>
        <v>28.785268333333335</v>
      </c>
    </row>
    <row r="55" spans="1:3" ht="15">
      <c r="A55" s="31"/>
      <c r="B55" s="31"/>
      <c r="C55" s="32"/>
    </row>
    <row r="56" spans="1:3" ht="15">
      <c r="A56" t="s">
        <v>73</v>
      </c>
      <c r="B56" t="s">
        <v>56</v>
      </c>
      <c r="C56" s="39">
        <v>0.15</v>
      </c>
    </row>
    <row r="57" spans="1:3" ht="15">
      <c r="A57" s="31" t="s">
        <v>74</v>
      </c>
      <c r="B57" s="31" t="s">
        <v>18</v>
      </c>
      <c r="C57" s="32">
        <f>C56*(C54+C51+C49+C45+C42+C40+C36+C32+C27+C20+C12)</f>
        <v>220.20730275</v>
      </c>
    </row>
    <row r="58" spans="2:3" ht="15">
      <c r="B58" s="31"/>
      <c r="C58" s="32"/>
    </row>
    <row r="59" spans="1:3" ht="15">
      <c r="A59" s="75" t="s">
        <v>75</v>
      </c>
      <c r="B59" s="75" t="s">
        <v>76</v>
      </c>
      <c r="C59" s="76">
        <f>C12+C20+C27+C32+C36+C40+C42+C45+C49+C51+C54+C57</f>
        <v>1688.2559877499998</v>
      </c>
    </row>
    <row r="60" spans="1:3" ht="15">
      <c r="A60" s="75"/>
      <c r="B60" s="75" t="s">
        <v>77</v>
      </c>
      <c r="C60" s="77">
        <f>C59/C16</f>
        <v>3.3765119754999997</v>
      </c>
    </row>
    <row r="61" spans="1:3" ht="15">
      <c r="A61" s="61"/>
      <c r="B61" s="62"/>
      <c r="C61" s="63"/>
    </row>
  </sheetData>
  <sheetProtection selectLockedCells="1" selectUnlockedCells="1"/>
  <dataValidations count="1">
    <dataValidation type="list" allowBlank="1" showErrorMessage="1" sqref="C15 C17">
      <formula1>'Kosten van het planten'!$M$17:$N$17</formula1>
      <formula2>0</formula2>
    </dataValidation>
  </dataValidations>
  <printOptions/>
  <pageMargins left="0.7" right="0.7" top="0.75" bottom="0.75" header="0.5118055555555555" footer="0.511805555555555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L56"/>
  <sheetViews>
    <sheetView zoomScalePageLayoutView="0" workbookViewId="0" topLeftCell="A1">
      <selection activeCell="A1" sqref="A1"/>
    </sheetView>
  </sheetViews>
  <sheetFormatPr defaultColWidth="9.140625" defaultRowHeight="15"/>
  <cols>
    <col min="1" max="1" width="80.140625" style="0" customWidth="1"/>
    <col min="3" max="3" width="14.00390625" style="0" customWidth="1"/>
    <col min="4" max="4" width="4.7109375" style="0" customWidth="1"/>
    <col min="5" max="5" width="10.57421875" style="0" customWidth="1"/>
    <col min="11" max="11" width="10.00390625" style="0" customWidth="1"/>
  </cols>
  <sheetData>
    <row r="1" spans="1:6" s="16" customFormat="1" ht="27" customHeight="1">
      <c r="A1" s="15" t="s">
        <v>78</v>
      </c>
      <c r="B1" s="15"/>
      <c r="C1" s="15"/>
      <c r="D1" s="23"/>
      <c r="E1" s="23"/>
      <c r="F1" s="23"/>
    </row>
    <row r="2" spans="1:6" s="16" customFormat="1" ht="15">
      <c r="A2" s="15" t="s">
        <v>8</v>
      </c>
      <c r="B2" s="15"/>
      <c r="C2" s="15"/>
      <c r="D2" s="23"/>
      <c r="E2" s="23"/>
      <c r="F2" s="23"/>
    </row>
    <row r="4" ht="15">
      <c r="A4" t="s">
        <v>79</v>
      </c>
    </row>
    <row r="6" spans="1:3" ht="15">
      <c r="A6" s="28" t="s">
        <v>37</v>
      </c>
      <c r="B6" s="29" t="s">
        <v>38</v>
      </c>
      <c r="C6" s="30" t="s">
        <v>39</v>
      </c>
    </row>
    <row r="8" spans="1:3" ht="15">
      <c r="A8" t="s">
        <v>40</v>
      </c>
      <c r="B8" t="s">
        <v>41</v>
      </c>
      <c r="C8" s="24">
        <f>'Kosten van het planten'!C8</f>
        <v>2000000000</v>
      </c>
    </row>
    <row r="9" spans="1:3" ht="15">
      <c r="A9" t="s">
        <v>42</v>
      </c>
      <c r="B9" t="s">
        <v>15</v>
      </c>
      <c r="C9" s="24">
        <f>'Kosten van het planten'!C9</f>
        <v>60</v>
      </c>
    </row>
    <row r="11" spans="1:3" ht="15">
      <c r="A11" t="s">
        <v>80</v>
      </c>
      <c r="B11" t="s">
        <v>41</v>
      </c>
      <c r="C11" s="24">
        <f>C8/C9</f>
        <v>33333333.333333332</v>
      </c>
    </row>
    <row r="12" spans="1:3" ht="15">
      <c r="A12" t="s">
        <v>81</v>
      </c>
      <c r="B12" t="s">
        <v>82</v>
      </c>
      <c r="C12" s="24">
        <f>'Inleiding en Kerngegevens'!C15</f>
        <v>46</v>
      </c>
    </row>
    <row r="13" spans="1:3" ht="15">
      <c r="A13" t="s">
        <v>83</v>
      </c>
      <c r="B13" t="s">
        <v>41</v>
      </c>
      <c r="C13" s="45">
        <f>C11/C12</f>
        <v>724637.6811594203</v>
      </c>
    </row>
    <row r="15" spans="1:3" ht="15">
      <c r="A15" t="s">
        <v>84</v>
      </c>
      <c r="C15" s="46">
        <f>C13*'Kosten van het planten'!C14</f>
        <v>181159420.28985506</v>
      </c>
    </row>
    <row r="16" spans="1:3" ht="15">
      <c r="A16" t="s">
        <v>85</v>
      </c>
      <c r="C16" s="46">
        <f>C13*'Kosten van het planten'!C16</f>
        <v>362318840.5797101</v>
      </c>
    </row>
    <row r="18" spans="1:3" ht="15">
      <c r="A18" t="s">
        <v>86</v>
      </c>
      <c r="B18" t="s">
        <v>87</v>
      </c>
      <c r="C18" s="34">
        <v>5</v>
      </c>
    </row>
    <row r="19" spans="1:3" ht="15">
      <c r="A19" t="s">
        <v>88</v>
      </c>
      <c r="B19" t="s">
        <v>89</v>
      </c>
      <c r="C19" s="34">
        <v>8</v>
      </c>
    </row>
    <row r="20" spans="1:3" ht="15">
      <c r="A20" t="s">
        <v>90</v>
      </c>
      <c r="C20" s="46">
        <f>C15/C18</f>
        <v>36231884.057971016</v>
      </c>
    </row>
    <row r="22" spans="1:3" ht="15">
      <c r="A22" t="s">
        <v>91</v>
      </c>
      <c r="B22" t="s">
        <v>89</v>
      </c>
      <c r="C22" s="34">
        <v>12</v>
      </c>
    </row>
    <row r="23" spans="1:3" ht="15">
      <c r="A23" t="s">
        <v>92</v>
      </c>
      <c r="C23" s="34">
        <v>30</v>
      </c>
    </row>
    <row r="24" spans="1:3" ht="15">
      <c r="A24" t="s">
        <v>93</v>
      </c>
      <c r="C24" s="40">
        <f>C22*C23</f>
        <v>360</v>
      </c>
    </row>
    <row r="25" spans="1:3" ht="15">
      <c r="A25" t="s">
        <v>94</v>
      </c>
      <c r="C25" s="46">
        <f>ROUND(C20/C24,0)</f>
        <v>100644</v>
      </c>
    </row>
    <row r="26" spans="1:12" ht="15">
      <c r="A26" s="31" t="s">
        <v>95</v>
      </c>
      <c r="B26" s="31"/>
      <c r="C26" s="32">
        <f>ROUND(C25*C22/C19,0)</f>
        <v>150966</v>
      </c>
      <c r="L26" s="47"/>
    </row>
    <row r="28" spans="1:3" ht="15">
      <c r="A28" t="s">
        <v>156</v>
      </c>
      <c r="C28" s="34">
        <v>8</v>
      </c>
    </row>
    <row r="29" spans="1:3" ht="15">
      <c r="A29" t="s">
        <v>96</v>
      </c>
      <c r="C29" s="40">
        <f>C19*C28</f>
        <v>64</v>
      </c>
    </row>
    <row r="30" spans="1:3" ht="15">
      <c r="A30" s="31" t="s">
        <v>97</v>
      </c>
      <c r="B30" s="31"/>
      <c r="C30" s="32">
        <f>ROUND(C20/C29,0)</f>
        <v>566123</v>
      </c>
    </row>
    <row r="32" spans="1:3" ht="15">
      <c r="A32" s="36" t="s">
        <v>98</v>
      </c>
      <c r="C32" s="34">
        <v>12</v>
      </c>
    </row>
    <row r="33" spans="1:3" ht="15">
      <c r="A33" s="36" t="s">
        <v>99</v>
      </c>
      <c r="C33" s="40">
        <f>C19*C32</f>
        <v>96</v>
      </c>
    </row>
    <row r="34" spans="1:5" ht="15">
      <c r="A34" s="31" t="s">
        <v>100</v>
      </c>
      <c r="C34" s="51">
        <f>ROUND(C20/C33,0)</f>
        <v>377415</v>
      </c>
      <c r="E34" s="21" t="s">
        <v>101</v>
      </c>
    </row>
    <row r="35" ht="15">
      <c r="A35" s="31"/>
    </row>
    <row r="36" spans="1:3" ht="15">
      <c r="A36" s="31" t="s">
        <v>159</v>
      </c>
      <c r="B36" s="31"/>
      <c r="C36" s="34">
        <v>100</v>
      </c>
    </row>
    <row r="37" spans="1:3" ht="15">
      <c r="A37" s="31" t="s">
        <v>157</v>
      </c>
      <c r="B37" s="31"/>
      <c r="C37" s="32">
        <f>((C15/C18)/C36)/C19</f>
        <v>45289.85507246377</v>
      </c>
    </row>
    <row r="38" spans="1:3" ht="15">
      <c r="A38" s="31"/>
      <c r="B38" s="31"/>
      <c r="C38" s="32"/>
    </row>
    <row r="39" spans="1:5" ht="15">
      <c r="A39" s="31" t="s">
        <v>158</v>
      </c>
      <c r="B39" s="31"/>
      <c r="C39" s="34">
        <v>20</v>
      </c>
      <c r="E39" s="21" t="s">
        <v>160</v>
      </c>
    </row>
    <row r="40" spans="1:3" ht="15">
      <c r="A40" s="31" t="s">
        <v>102</v>
      </c>
      <c r="B40" s="31"/>
      <c r="C40" s="32">
        <f>((C15/C18)/C39)/C19</f>
        <v>226449.27536231885</v>
      </c>
    </row>
    <row r="42" spans="1:3" ht="15">
      <c r="A42" t="s">
        <v>103</v>
      </c>
      <c r="B42" t="s">
        <v>89</v>
      </c>
      <c r="C42" s="34">
        <v>8</v>
      </c>
    </row>
    <row r="43" spans="1:3" ht="15">
      <c r="A43" t="s">
        <v>104</v>
      </c>
      <c r="B43" t="s">
        <v>41</v>
      </c>
      <c r="C43" s="46">
        <f>C13/C18</f>
        <v>144927.53623188406</v>
      </c>
    </row>
    <row r="44" spans="1:3" ht="15">
      <c r="A44" s="31" t="s">
        <v>105</v>
      </c>
      <c r="C44" s="32">
        <f>(C43*C42)/C19</f>
        <v>144927.53623188406</v>
      </c>
    </row>
    <row r="46" spans="1:3" ht="15">
      <c r="A46" t="s">
        <v>73</v>
      </c>
      <c r="B46" t="s">
        <v>56</v>
      </c>
      <c r="C46" s="70">
        <v>0.15</v>
      </c>
    </row>
    <row r="47" spans="1:3" ht="15">
      <c r="A47" s="31" t="s">
        <v>106</v>
      </c>
      <c r="B47" s="31"/>
      <c r="C47" s="32">
        <f>ROUND(C46*(C44+C40+C37+C30+C26),0)</f>
        <v>170063</v>
      </c>
    </row>
    <row r="49" spans="1:3" ht="15">
      <c r="A49" t="s">
        <v>152</v>
      </c>
      <c r="C49" s="34">
        <v>35</v>
      </c>
    </row>
    <row r="51" spans="1:3" ht="15">
      <c r="A51" s="31" t="s">
        <v>107</v>
      </c>
      <c r="B51" s="31"/>
      <c r="C51" s="71">
        <f>'Management werkdiagram'!C28*('Inleiding en Kerngegevens'!C11/'Management werkdiagram'!C7)</f>
        <v>5800000</v>
      </c>
    </row>
    <row r="53" spans="1:3" ht="15">
      <c r="A53" s="75" t="s">
        <v>108</v>
      </c>
      <c r="B53" s="75"/>
      <c r="C53" s="78">
        <f>C51+C47+C44+C40+C37+C34+C30+C26</f>
        <v>7481233.666666667</v>
      </c>
    </row>
    <row r="56" spans="3:7" ht="15">
      <c r="C56" s="24"/>
      <c r="G56" s="21"/>
    </row>
  </sheetData>
  <sheetProtection selectLockedCells="1" selectUnlockedCells="1"/>
  <printOptions/>
  <pageMargins left="0.7" right="0.7" top="0.75" bottom="0.75" header="0.5118055555555555" footer="0.5118055555555555"/>
  <pageSetup horizontalDpi="300" verticalDpi="300" orientation="portrait" paperSize="9" scale="78"/>
  <drawing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5"/>
  <cols>
    <col min="1" max="1" width="66.421875" style="0" customWidth="1"/>
    <col min="2" max="2" width="17.57421875" style="0" customWidth="1"/>
    <col min="3" max="3" width="13.421875" style="0" customWidth="1"/>
  </cols>
  <sheetData>
    <row r="1" spans="1:5" s="16" customFormat="1" ht="27" customHeight="1">
      <c r="A1" s="90" t="s">
        <v>78</v>
      </c>
      <c r="B1" s="15"/>
      <c r="C1" s="15"/>
      <c r="D1" s="23"/>
      <c r="E1" s="23"/>
    </row>
    <row r="2" spans="1:5" s="16" customFormat="1" ht="15">
      <c r="A2" s="15" t="s">
        <v>8</v>
      </c>
      <c r="B2" s="15"/>
      <c r="C2" s="15"/>
      <c r="D2" s="23"/>
      <c r="E2" s="23"/>
    </row>
    <row r="4" ht="15">
      <c r="A4" t="s">
        <v>109</v>
      </c>
    </row>
    <row r="6" spans="1:3" ht="15">
      <c r="A6" s="28" t="s">
        <v>37</v>
      </c>
      <c r="B6" s="29" t="s">
        <v>38</v>
      </c>
      <c r="C6" s="30" t="s">
        <v>39</v>
      </c>
    </row>
    <row r="8" spans="1:3" ht="15">
      <c r="A8" t="s">
        <v>110</v>
      </c>
      <c r="B8" t="s">
        <v>82</v>
      </c>
      <c r="C8" s="34">
        <v>52</v>
      </c>
    </row>
    <row r="10" spans="1:3" ht="15">
      <c r="A10" t="s">
        <v>111</v>
      </c>
      <c r="B10" t="s">
        <v>112</v>
      </c>
      <c r="C10" s="34">
        <v>400</v>
      </c>
    </row>
    <row r="11" spans="1:3" ht="15">
      <c r="A11" t="s">
        <v>113</v>
      </c>
      <c r="B11" t="s">
        <v>112</v>
      </c>
      <c r="C11" s="69">
        <v>200</v>
      </c>
    </row>
    <row r="13" spans="1:3" ht="15">
      <c r="A13" t="s">
        <v>114</v>
      </c>
      <c r="B13" s="48">
        <v>0.5</v>
      </c>
      <c r="C13" s="43">
        <f>C8*B13</f>
        <v>26</v>
      </c>
    </row>
    <row r="16" spans="1:3" ht="15">
      <c r="A16" t="s">
        <v>115</v>
      </c>
      <c r="C16" s="40">
        <f>Werkgelegenheid!C16</f>
        <v>362318840.5797101</v>
      </c>
    </row>
    <row r="17" spans="1:3" ht="15">
      <c r="A17" t="s">
        <v>116</v>
      </c>
      <c r="B17" s="39">
        <v>0.1</v>
      </c>
      <c r="C17" s="46">
        <f>C16*B17</f>
        <v>36231884.057971016</v>
      </c>
    </row>
    <row r="18" spans="1:3" ht="15">
      <c r="A18" t="s">
        <v>117</v>
      </c>
      <c r="C18" s="46">
        <f>C16+C17</f>
        <v>398550724.6376811</v>
      </c>
    </row>
    <row r="20" spans="1:3" ht="15">
      <c r="A20" t="s">
        <v>118</v>
      </c>
      <c r="B20" t="s">
        <v>31</v>
      </c>
      <c r="C20" s="46">
        <f>C18/C10</f>
        <v>996376.8115942028</v>
      </c>
    </row>
    <row r="21" spans="1:3" ht="15">
      <c r="A21" t="s">
        <v>119</v>
      </c>
      <c r="B21" t="s">
        <v>31</v>
      </c>
      <c r="C21" s="49">
        <f>C20*C13</f>
        <v>25905797.101449274</v>
      </c>
    </row>
    <row r="23" spans="1:3" ht="15">
      <c r="A23" t="s">
        <v>120</v>
      </c>
      <c r="B23" t="s">
        <v>31</v>
      </c>
      <c r="C23" s="46">
        <f>C18/C11</f>
        <v>1992753.6231884055</v>
      </c>
    </row>
    <row r="24" spans="1:3" ht="15">
      <c r="A24" t="s">
        <v>121</v>
      </c>
      <c r="B24" t="s">
        <v>31</v>
      </c>
      <c r="C24" s="49">
        <f>(C8-C13)*C23</f>
        <v>51811594.20289855</v>
      </c>
    </row>
    <row r="26" spans="1:3" ht="15">
      <c r="A26" t="s">
        <v>122</v>
      </c>
      <c r="B26" t="s">
        <v>31</v>
      </c>
      <c r="C26" s="40">
        <f>C24+C21</f>
        <v>77717391.30434781</v>
      </c>
    </row>
    <row r="27" spans="1:3" ht="15">
      <c r="A27" t="s">
        <v>123</v>
      </c>
      <c r="B27" s="72">
        <v>0.15</v>
      </c>
      <c r="C27" s="40">
        <f>C26*B27</f>
        <v>11657608.695652172</v>
      </c>
    </row>
    <row r="28" spans="2:3" ht="15">
      <c r="B28" s="89"/>
      <c r="C28" s="40"/>
    </row>
    <row r="29" spans="1:5" ht="15">
      <c r="A29" s="75" t="s">
        <v>124</v>
      </c>
      <c r="B29" s="79" t="s">
        <v>31</v>
      </c>
      <c r="C29" s="80">
        <f>SUM(C26:C27)</f>
        <v>89374999.99999999</v>
      </c>
      <c r="E29" t="s">
        <v>125</v>
      </c>
    </row>
  </sheetData>
  <sheetProtection selectLockedCells="1" selectUnlockedCells="1"/>
  <printOptions/>
  <pageMargins left="0.7" right="0.7" top="0.75" bottom="0.75" header="0.5118055555555555" footer="0.5118055555555555"/>
  <pageSetup horizontalDpi="300" verticalDpi="300" orientation="portrait" paperSize="9" scale="75"/>
  <drawing r:id="rId1"/>
</worksheet>
</file>

<file path=xl/worksheets/sheet6.xml><?xml version="1.0" encoding="utf-8"?>
<worksheet xmlns="http://schemas.openxmlformats.org/spreadsheetml/2006/main" xmlns:r="http://schemas.openxmlformats.org/officeDocument/2006/relationships">
  <dimension ref="A1:H32"/>
  <sheetViews>
    <sheetView zoomScalePageLayoutView="0" workbookViewId="0" topLeftCell="A1">
      <selection activeCell="H1" sqref="H1:H2"/>
    </sheetView>
  </sheetViews>
  <sheetFormatPr defaultColWidth="9.140625" defaultRowHeight="15"/>
  <cols>
    <col min="1" max="1" width="19.7109375" style="0" customWidth="1"/>
    <col min="2" max="2" width="66.28125" style="0" customWidth="1"/>
    <col min="4" max="4" width="12.7109375" style="0" customWidth="1"/>
    <col min="5" max="6" width="10.28125" style="0" customWidth="1"/>
    <col min="7" max="7" width="15.140625" style="0" customWidth="1"/>
  </cols>
  <sheetData>
    <row r="1" spans="1:8" ht="27" customHeight="1">
      <c r="A1" s="50" t="s">
        <v>126</v>
      </c>
      <c r="B1" s="91" t="s">
        <v>175</v>
      </c>
      <c r="C1" s="50"/>
      <c r="D1" s="50"/>
      <c r="E1" s="50"/>
      <c r="F1" s="50"/>
      <c r="G1" s="50"/>
      <c r="H1" s="50"/>
    </row>
    <row r="2" spans="1:8" ht="15">
      <c r="A2" s="15"/>
      <c r="B2" s="15"/>
      <c r="C2" s="15"/>
      <c r="D2" s="15"/>
      <c r="E2" s="15"/>
      <c r="F2" s="15"/>
      <c r="G2" s="15"/>
      <c r="H2" s="50"/>
    </row>
    <row r="4" ht="15">
      <c r="B4" t="s">
        <v>127</v>
      </c>
    </row>
    <row r="5" spans="2:3" ht="15">
      <c r="B5" t="s">
        <v>35</v>
      </c>
      <c r="C5" s="27"/>
    </row>
    <row r="6" ht="15.75" thickBot="1">
      <c r="C6" s="64"/>
    </row>
    <row r="7" spans="2:3" ht="15.75" thickBot="1">
      <c r="B7" s="74" t="s">
        <v>174</v>
      </c>
      <c r="C7" s="92">
        <v>10000</v>
      </c>
    </row>
    <row r="9" spans="2:8" ht="15">
      <c r="B9" s="28" t="s">
        <v>128</v>
      </c>
      <c r="C9" s="28" t="s">
        <v>129</v>
      </c>
      <c r="D9" s="28" t="s">
        <v>130</v>
      </c>
      <c r="E9" s="28" t="s">
        <v>131</v>
      </c>
      <c r="F9" s="28"/>
      <c r="G9" s="28" t="s">
        <v>132</v>
      </c>
      <c r="H9" s="28" t="s">
        <v>131</v>
      </c>
    </row>
    <row r="10" spans="2:8" ht="15">
      <c r="B10" t="s">
        <v>133</v>
      </c>
      <c r="C10" s="94">
        <v>1</v>
      </c>
      <c r="D10" s="94">
        <v>52000</v>
      </c>
      <c r="E10">
        <f>C10*D10</f>
        <v>52000</v>
      </c>
      <c r="F10" s="94">
        <v>1</v>
      </c>
      <c r="G10" s="94">
        <v>16000</v>
      </c>
      <c r="H10" s="24">
        <f>F10*G10</f>
        <v>16000</v>
      </c>
    </row>
    <row r="11" spans="2:8" ht="15">
      <c r="B11" t="s">
        <v>134</v>
      </c>
      <c r="C11" s="94">
        <v>1</v>
      </c>
      <c r="D11" s="94">
        <v>52000</v>
      </c>
      <c r="E11">
        <f aca="true" t="shared" si="0" ref="E11:E25">C11*D11</f>
        <v>52000</v>
      </c>
      <c r="F11" s="94">
        <v>1</v>
      </c>
      <c r="G11" s="94">
        <v>16000</v>
      </c>
      <c r="H11" s="24">
        <f aca="true" t="shared" si="1" ref="H11:H25">F11*G11</f>
        <v>16000</v>
      </c>
    </row>
    <row r="12" spans="2:8" ht="15">
      <c r="B12" t="s">
        <v>135</v>
      </c>
      <c r="C12" s="94">
        <v>0</v>
      </c>
      <c r="D12" s="94">
        <v>52000</v>
      </c>
      <c r="E12">
        <f t="shared" si="0"/>
        <v>0</v>
      </c>
      <c r="F12" s="94">
        <v>0</v>
      </c>
      <c r="G12" s="94">
        <v>16000</v>
      </c>
      <c r="H12" s="24">
        <f t="shared" si="1"/>
        <v>0</v>
      </c>
    </row>
    <row r="13" spans="2:8" ht="15">
      <c r="B13" t="s">
        <v>136</v>
      </c>
      <c r="C13" s="94">
        <v>1</v>
      </c>
      <c r="D13" s="94">
        <v>30000</v>
      </c>
      <c r="E13">
        <f t="shared" si="0"/>
        <v>30000</v>
      </c>
      <c r="F13" s="94">
        <v>1</v>
      </c>
      <c r="G13" s="94">
        <v>16000</v>
      </c>
      <c r="H13" s="24">
        <f t="shared" si="1"/>
        <v>16000</v>
      </c>
    </row>
    <row r="14" spans="2:8" ht="15">
      <c r="B14" t="s">
        <v>137</v>
      </c>
      <c r="C14" s="94">
        <v>1</v>
      </c>
      <c r="D14" s="94">
        <v>26000</v>
      </c>
      <c r="E14">
        <f t="shared" si="0"/>
        <v>26000</v>
      </c>
      <c r="F14" s="94">
        <v>1</v>
      </c>
      <c r="G14" s="94">
        <v>9000</v>
      </c>
      <c r="H14" s="24">
        <f t="shared" si="1"/>
        <v>9000</v>
      </c>
    </row>
    <row r="15" spans="2:8" ht="15">
      <c r="B15" t="s">
        <v>138</v>
      </c>
      <c r="C15" s="94">
        <v>1</v>
      </c>
      <c r="D15" s="94">
        <v>26000</v>
      </c>
      <c r="E15">
        <f t="shared" si="0"/>
        <v>26000</v>
      </c>
      <c r="F15" s="94">
        <v>1</v>
      </c>
      <c r="G15" s="94">
        <v>9000</v>
      </c>
      <c r="H15" s="24">
        <f t="shared" si="1"/>
        <v>9000</v>
      </c>
    </row>
    <row r="16" spans="2:8" ht="15">
      <c r="B16" t="s">
        <v>139</v>
      </c>
      <c r="C16" s="94">
        <v>1</v>
      </c>
      <c r="D16" s="94">
        <v>26000</v>
      </c>
      <c r="E16">
        <f t="shared" si="0"/>
        <v>26000</v>
      </c>
      <c r="F16" s="94">
        <v>0</v>
      </c>
      <c r="G16" s="94">
        <v>9000</v>
      </c>
      <c r="H16" s="24">
        <f t="shared" si="1"/>
        <v>0</v>
      </c>
    </row>
    <row r="17" spans="2:8" ht="15">
      <c r="B17" t="s">
        <v>140</v>
      </c>
      <c r="C17" s="94">
        <v>1</v>
      </c>
      <c r="D17" s="94">
        <v>52000</v>
      </c>
      <c r="E17">
        <f t="shared" si="0"/>
        <v>52000</v>
      </c>
      <c r="F17" s="94">
        <v>1</v>
      </c>
      <c r="G17" s="94">
        <v>9000</v>
      </c>
      <c r="H17" s="24">
        <f t="shared" si="1"/>
        <v>9000</v>
      </c>
    </row>
    <row r="18" spans="2:8" ht="15">
      <c r="B18" t="s">
        <v>141</v>
      </c>
      <c r="C18" s="94">
        <v>1</v>
      </c>
      <c r="D18" s="94">
        <v>52000</v>
      </c>
      <c r="E18">
        <f t="shared" si="0"/>
        <v>52000</v>
      </c>
      <c r="F18" s="94">
        <v>1</v>
      </c>
      <c r="G18" s="94">
        <v>9000</v>
      </c>
      <c r="H18" s="24">
        <f t="shared" si="1"/>
        <v>9000</v>
      </c>
    </row>
    <row r="19" spans="2:8" ht="15">
      <c r="B19" t="s">
        <v>142</v>
      </c>
      <c r="C19" s="94">
        <v>1</v>
      </c>
      <c r="D19" s="94">
        <v>26000</v>
      </c>
      <c r="E19">
        <f t="shared" si="0"/>
        <v>26000</v>
      </c>
      <c r="F19" s="94">
        <v>1</v>
      </c>
      <c r="G19" s="94">
        <v>9000</v>
      </c>
      <c r="H19" s="24">
        <f t="shared" si="1"/>
        <v>9000</v>
      </c>
    </row>
    <row r="20" spans="2:8" ht="15">
      <c r="B20" t="s">
        <v>143</v>
      </c>
      <c r="C20" s="94">
        <v>1</v>
      </c>
      <c r="D20" s="94">
        <v>26000</v>
      </c>
      <c r="E20">
        <f t="shared" si="0"/>
        <v>26000</v>
      </c>
      <c r="F20" s="94">
        <v>1</v>
      </c>
      <c r="G20" s="94">
        <v>9000</v>
      </c>
      <c r="H20" s="24">
        <f t="shared" si="1"/>
        <v>9000</v>
      </c>
    </row>
    <row r="21" spans="2:8" ht="15">
      <c r="B21" t="s">
        <v>144</v>
      </c>
      <c r="C21" s="94">
        <v>1</v>
      </c>
      <c r="D21" s="94">
        <v>26000</v>
      </c>
      <c r="E21">
        <f t="shared" si="0"/>
        <v>26000</v>
      </c>
      <c r="F21" s="94">
        <v>1</v>
      </c>
      <c r="G21" s="94">
        <v>9000</v>
      </c>
      <c r="H21" s="24">
        <f t="shared" si="1"/>
        <v>9000</v>
      </c>
    </row>
    <row r="22" spans="2:8" ht="15">
      <c r="B22" t="s">
        <v>145</v>
      </c>
      <c r="C22" s="94">
        <v>1</v>
      </c>
      <c r="D22" s="94">
        <v>26000</v>
      </c>
      <c r="E22">
        <f t="shared" si="0"/>
        <v>26000</v>
      </c>
      <c r="F22" s="94">
        <v>1</v>
      </c>
      <c r="G22" s="94">
        <v>9000</v>
      </c>
      <c r="H22" s="24">
        <f t="shared" si="1"/>
        <v>9000</v>
      </c>
    </row>
    <row r="23" spans="2:8" ht="15">
      <c r="B23" t="s">
        <v>146</v>
      </c>
      <c r="C23" s="94">
        <v>1</v>
      </c>
      <c r="D23" s="94">
        <v>26000</v>
      </c>
      <c r="E23">
        <f t="shared" si="0"/>
        <v>26000</v>
      </c>
      <c r="F23" s="94">
        <v>0</v>
      </c>
      <c r="G23" s="94">
        <v>9000</v>
      </c>
      <c r="H23" s="24">
        <f t="shared" si="1"/>
        <v>0</v>
      </c>
    </row>
    <row r="24" spans="2:8" ht="15">
      <c r="B24" t="s">
        <v>147</v>
      </c>
      <c r="C24" s="94">
        <v>0</v>
      </c>
      <c r="D24" s="94">
        <v>52000</v>
      </c>
      <c r="E24">
        <f t="shared" si="0"/>
        <v>0</v>
      </c>
      <c r="F24" s="94">
        <v>0</v>
      </c>
      <c r="G24" s="94">
        <v>9000</v>
      </c>
      <c r="H24" s="24">
        <f t="shared" si="1"/>
        <v>0</v>
      </c>
    </row>
    <row r="25" spans="2:8" ht="15">
      <c r="B25" t="s">
        <v>148</v>
      </c>
      <c r="C25" s="94">
        <v>3</v>
      </c>
      <c r="D25" s="94">
        <v>14400</v>
      </c>
      <c r="E25">
        <f t="shared" si="0"/>
        <v>43200</v>
      </c>
      <c r="F25" s="94">
        <v>2</v>
      </c>
      <c r="G25" s="94">
        <v>9000</v>
      </c>
      <c r="H25" s="24">
        <f t="shared" si="1"/>
        <v>18000</v>
      </c>
    </row>
    <row r="26" spans="2:8" ht="15">
      <c r="B26" t="s">
        <v>149</v>
      </c>
      <c r="C26">
        <f>SUM(C10:C25)</f>
        <v>16</v>
      </c>
      <c r="E26">
        <f>SUM(E10:E25)</f>
        <v>489200</v>
      </c>
      <c r="F26" s="95">
        <f>SUM(F10:F25)</f>
        <v>13</v>
      </c>
      <c r="G26" s="95"/>
      <c r="H26" s="24">
        <f>SUM(H10:H25)</f>
        <v>138000</v>
      </c>
    </row>
    <row r="27" spans="2:8" ht="15">
      <c r="B27" t="s">
        <v>73</v>
      </c>
      <c r="C27" s="39">
        <v>0.15</v>
      </c>
      <c r="D27" s="25"/>
      <c r="E27" s="24">
        <f>E26*C27</f>
        <v>73380</v>
      </c>
      <c r="F27" s="73">
        <v>0.15</v>
      </c>
      <c r="G27" s="25"/>
      <c r="H27" s="24">
        <f>H26*C27</f>
        <v>20700</v>
      </c>
    </row>
    <row r="28" spans="2:8" ht="15">
      <c r="B28" s="75" t="s">
        <v>150</v>
      </c>
      <c r="C28" s="65">
        <f>C26+F26</f>
        <v>29</v>
      </c>
      <c r="D28" s="79"/>
      <c r="E28" s="81">
        <f>SUM(E26:E27)</f>
        <v>562580</v>
      </c>
      <c r="F28" s="81"/>
      <c r="G28" s="79"/>
      <c r="H28" s="81">
        <f>SUM(H26:H27)</f>
        <v>158700</v>
      </c>
    </row>
    <row r="32" ht="15">
      <c r="G32" s="66"/>
    </row>
  </sheetData>
  <sheetProtection selectLockedCells="1" selectUnlockedCells="1"/>
  <printOptions/>
  <pageMargins left="0.7" right="0.7" top="0.75" bottom="0.75"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PieterHoff</dc:creator>
  <cp:keywords/>
  <dc:description/>
  <cp:lastModifiedBy>PieterHoff</cp:lastModifiedBy>
  <dcterms:created xsi:type="dcterms:W3CDTF">2013-03-19T20:29:19Z</dcterms:created>
  <dcterms:modified xsi:type="dcterms:W3CDTF">2014-12-20T16:50:39Z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