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60" windowHeight="9675" tabRatio="1000" activeTab="0"/>
  </bookViews>
  <sheets>
    <sheet name="Primera página" sheetId="1" r:id="rId1"/>
    <sheet name="Introducción y datos principale" sheetId="2" r:id="rId2"/>
    <sheet name="Costes de plantación" sheetId="3" r:id="rId3"/>
    <sheet name="Empleo" sheetId="4" r:id="rId4"/>
    <sheet name="Cultivo" sheetId="5" r:id="rId5"/>
    <sheet name="Diagrama de flujo gestión" sheetId="6" r:id="rId6"/>
  </sheets>
  <definedNames>
    <definedName name="_xlnm.Print_Area" localSheetId="2">'Costes de plantación'!$A$1:$E$60</definedName>
    <definedName name="_xlnm.Print_Area" localSheetId="3">'Empleo'!$A$1:$F$56</definedName>
    <definedName name="_xlnm.Print_Area" localSheetId="0">'Primera página'!$A$1:$A$29</definedName>
  </definedNames>
  <calcPr fullCalcOnLoad="1"/>
</workbook>
</file>

<file path=xl/comments2.xml><?xml version="1.0" encoding="utf-8"?>
<comments xmlns="http://schemas.openxmlformats.org/spreadsheetml/2006/main">
  <authors>
    <author>PieterHoff</author>
  </authors>
  <commentList>
    <comment ref="B21" authorId="0">
      <text>
        <r>
          <rPr>
            <b/>
            <sz val="9"/>
            <rFont val="Tahoma"/>
            <family val="2"/>
          </rPr>
          <t xml:space="preserve">Scientific sources: THE UNIVERSITY OF STUTTGART CLAIMS THAT JATROPHA DISCONNECTS 25 TONNES OF CO2 PER HECTARE
https://www.uni-hohenheim.de/news/studie-carbon-farming-
biomasse-plantagen-in-wuestenregionen-koennten-klimawandel-
mildern-8
THE UNIVERSITY OF BOULDER COLORADO CLAIMS THAT TREES DISCONNECT NOW 100% MORE CARBON THAN 50 YEARS AGO THIS IS LOGIC, SHELL IS SELLING CO2 TO GROWERS IN HOLLAND AS A FERTILIZER
http://www.colorado.edu/news/releases/2012/08/01/earth-still-
absorbing-co2-even-emissions-rise-says-new-cu-led-study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0" authorId="0">
      <text>
        <r>
          <rPr>
            <b/>
            <sz val="9"/>
            <color indexed="8"/>
            <rFont val="Tahoma"/>
            <family val="2"/>
          </rPr>
          <t xml:space="preserve">This is based on a tractor of 60K plus machine of 40K making 1 hole a time, plus energy, using it 6 years. If it is a 3-drill, price will drop to 6 cents excl. wages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This is based on a tractor with one drill, with 3 drills the price would drop to 10 cents
</t>
        </r>
      </text>
    </comment>
  </commentList>
</comments>
</file>

<file path=xl/sharedStrings.xml><?xml version="1.0" encoding="utf-8"?>
<sst xmlns="http://schemas.openxmlformats.org/spreadsheetml/2006/main" count="238" uniqueCount="178">
  <si>
    <t>Pieter Hoff</t>
  </si>
  <si>
    <t>phoff@groasis.com</t>
  </si>
  <si>
    <t xml:space="preserve">                                      </t>
  </si>
  <si>
    <t>hs</t>
  </si>
  <si>
    <t>US$</t>
  </si>
  <si>
    <t>mUS$</t>
  </si>
  <si>
    <t>m2</t>
  </si>
  <si>
    <t>ha</t>
  </si>
  <si>
    <t>%</t>
  </si>
  <si>
    <t>US$/ha</t>
  </si>
  <si>
    <t xml:space="preserve">                                             make wasteland productive again</t>
  </si>
  <si>
    <t>Tecnología Groasis</t>
  </si>
  <si>
    <t>con</t>
  </si>
  <si>
    <t>Groasis Waterboxx que se puede reutilizar 10 veces</t>
  </si>
  <si>
    <t>© Wout Hoff - este model es propiedad intelectual de Groasis - Holland</t>
  </si>
  <si>
    <t>Este documento parte de suposiciones generales.</t>
  </si>
  <si>
    <t xml:space="preserve">Nota: Este modelo simplificado da una visión global de los gastos estimados relacionados con la ejucución de un proyecto de plantación de árboles con Groasis Waterboxxes en desiertos o en zonas erosionadas o rocosas. El modelo no da una imagen completa de todas las implicaciones de un proyecto de este tipo. </t>
  </si>
  <si>
    <t>Modifica los datos en este document para que las cifras se ajusten a su proyecto específico.</t>
  </si>
  <si>
    <t>Esta página muestra los gastos de administración y oficina, incluyendo el edificio</t>
  </si>
  <si>
    <t>Por favor modifique solo los valores de las celdas amarillas:</t>
  </si>
  <si>
    <t>Cantidad</t>
  </si>
  <si>
    <t>Salario anual en $</t>
  </si>
  <si>
    <t>Total</t>
  </si>
  <si>
    <t>Gastos de oficina en $</t>
  </si>
  <si>
    <t>Director general</t>
  </si>
  <si>
    <t>Directo financiero</t>
  </si>
  <si>
    <t>Marketing y ventas</t>
  </si>
  <si>
    <t>Recursos humanos</t>
  </si>
  <si>
    <t>Asistente director general</t>
  </si>
  <si>
    <t>Control de calidad</t>
  </si>
  <si>
    <t xml:space="preserve">Comunicación </t>
  </si>
  <si>
    <t>Logística</t>
  </si>
  <si>
    <t>Seguridad</t>
  </si>
  <si>
    <t>Jurídico</t>
  </si>
  <si>
    <t>Subtotal</t>
  </si>
  <si>
    <t>Personal administrativo</t>
  </si>
  <si>
    <t>Imprevistos</t>
  </si>
  <si>
    <t>Médico</t>
  </si>
  <si>
    <t>Alimentación y salud</t>
  </si>
  <si>
    <t>Equipo</t>
  </si>
  <si>
    <t>Industria forestal</t>
  </si>
  <si>
    <t>Cultivo</t>
  </si>
  <si>
    <t>Gastos administrativos totales</t>
  </si>
  <si>
    <t>ENTRADA</t>
  </si>
  <si>
    <t>Edad mínima de la planta antes de plantarla en Groasis Waterboxxes</t>
  </si>
  <si>
    <t>Unidad</t>
  </si>
  <si>
    <t>Valor</t>
  </si>
  <si>
    <t>semanas</t>
  </si>
  <si>
    <t>En esta página encontrará un cálculo sobre el tamaño del cultivo que es necesario para poder cultivar árboles y arbustos jóvenes para su proyecto.</t>
  </si>
  <si>
    <t>Número de plantas netas necesarias por semana</t>
  </si>
  <si>
    <t>Número de plantas brutas necesarias por semana</t>
  </si>
  <si>
    <t>Pérdida de plantas durante la producción en el cultivo</t>
  </si>
  <si>
    <t>Duración en semana en el cultivo, con 800 plantas por m2</t>
  </si>
  <si>
    <t>plantas/m2 brutos</t>
  </si>
  <si>
    <t>Densidad de plantas en el cultivo, semanas restantes, cajas termoplásticas</t>
  </si>
  <si>
    <t>Densidad de plantan en el cultivo, primer periodo, cajas termoplásticas</t>
  </si>
  <si>
    <t>Superficie bruta necesaria para la producción durante la primera semana</t>
  </si>
  <si>
    <t>Superficie total bruta necesaria para el primer periodo de producción</t>
  </si>
  <si>
    <t>Superficie bruta necesaria por semana para las semanas restantes</t>
  </si>
  <si>
    <t>Superficie total bruta necesaria para el último periodo de producción</t>
  </si>
  <si>
    <t>Superficie total necesaria para el cultivo (neto)</t>
  </si>
  <si>
    <t>Porcentaje de zonas no usadas para el cultivo (pasillos)</t>
  </si>
  <si>
    <t>Superficie total necesaria para el cultivo (bruto)</t>
  </si>
  <si>
    <t>En esta página se describe cómo se debe organizar el proyecto. La página además aporta un resumen del empleo generado</t>
  </si>
  <si>
    <t>año</t>
  </si>
  <si>
    <t>Dimensión del proyecto</t>
  </si>
  <si>
    <t>Duración del proyecto</t>
  </si>
  <si>
    <t>Número de ha plantadas por año</t>
  </si>
  <si>
    <t>Número de semanas anuales en los que se planta</t>
  </si>
  <si>
    <t>Número de ha que se plantan por semana</t>
  </si>
  <si>
    <t>Número de Groasis Waterboxxes por semana</t>
  </si>
  <si>
    <t>Número de árboles por semana</t>
  </si>
  <si>
    <t>días</t>
  </si>
  <si>
    <t>horas</t>
  </si>
  <si>
    <t>Número de jornadas laborales por semana</t>
  </si>
  <si>
    <t>Duración de la jornada laboral de un plantador</t>
  </si>
  <si>
    <t>Número de Groasis Waterboxxes por jornada laboral</t>
  </si>
  <si>
    <t>Número de horas que se taladra al día</t>
  </si>
  <si>
    <t>Numero de agujeros que se taladra</t>
  </si>
  <si>
    <t>Número de agujeros que se taladra al día</t>
  </si>
  <si>
    <t>Número de taladros necesarios</t>
  </si>
  <si>
    <t>Número de personas necesarias que taladren</t>
  </si>
  <si>
    <t>Número de plantadores necesarios</t>
  </si>
  <si>
    <t>Número de Groasis Waterboxxes montadas y plantadas por persona y hora</t>
  </si>
  <si>
    <t>Número de personas necesarias para retirar y limpiar las cajas</t>
  </si>
  <si>
    <t>Transporte interno de Groasis Waterboxxen y árboles por hora hombre</t>
  </si>
  <si>
    <t>Número de Groasis Waterboxxes plantadas por turno</t>
  </si>
  <si>
    <t>Número de Groasis Waterboxxes retiradas y limpiadas por persona y hora</t>
  </si>
  <si>
    <t>Número de Groasis Waterboxxes retiradas y limpiadas por turno</t>
  </si>
  <si>
    <t>Transporte interno durante la plantación</t>
  </si>
  <si>
    <t>Nota: los empleados de la celda C34 son necesarios tras un año del comienzo del proyecto y seguirán siendo necesarios hasta un año después de terminar el proyecto.</t>
  </si>
  <si>
    <t>Número de agujeros y Groasis Waterboxxen regados por hora hombre</t>
  </si>
  <si>
    <t>Distribución de agua durante la plantación</t>
  </si>
  <si>
    <t>Nota: en condiciones secas se deben regar los agujeros con 20 a 40 litros de agua el día anterior a la plantación. Después de la plantación se debe regar 4 litros a través la apertura de la Groasis Waterboxx y 16 litros directos a la Groasis Waterboxx.</t>
  </si>
  <si>
    <t>Gastos de limpieza (mala hierba/indeseada) en horas por ha</t>
  </si>
  <si>
    <t>Número de ha que se limpian al día</t>
  </si>
  <si>
    <t>Número de limpiadores necesarios</t>
  </si>
  <si>
    <t>Trabajo imprevisto, estimado en</t>
  </si>
  <si>
    <t>Gastos de alojamiento por empleado por día</t>
  </si>
  <si>
    <t>Administración</t>
  </si>
  <si>
    <t>Número total de empleados necesarios para el proyecto de plantación, incluyendo gastos de administración</t>
  </si>
  <si>
    <t>Esta página describe el proceso de plantación de la zona con Groasis Waterboxxes.</t>
  </si>
  <si>
    <t>litros</t>
  </si>
  <si>
    <t>US$/árbol</t>
  </si>
  <si>
    <t>Gastos imprevistos por ha estimado en</t>
  </si>
  <si>
    <t>Costes de plantación estimado en</t>
  </si>
  <si>
    <t>Nota: suponiendo que los gastos de producción del cultivo y los materiales están incluidos en el precio de coste de árboles jóvenes (véase la pestaña 'Costes de plantación').</t>
  </si>
  <si>
    <t>Gastos de limpieza por ha (mala hierba/indeseada)</t>
  </si>
  <si>
    <t>Gastos totales de limpieza por ha</t>
  </si>
  <si>
    <t>Número de Groasis Waterboxxes / agujeros por ha</t>
  </si>
  <si>
    <t>Número de árboles por Groasis Waterboxx</t>
  </si>
  <si>
    <t>Número de árboles plantados por ha</t>
  </si>
  <si>
    <t xml:space="preserve">Número de variedades que se plantan por Groasis Waterboxx </t>
  </si>
  <si>
    <t>Precio de la variedad 1</t>
  </si>
  <si>
    <t>Precio de la variedad 2</t>
  </si>
  <si>
    <t>Costes de los árboles por ha</t>
  </si>
  <si>
    <t>Selecciona el valor adecuado de la lista desplegable</t>
  </si>
  <si>
    <t>Gastos totales por Groasis Waterboxx</t>
  </si>
  <si>
    <t>Gastos de Groasis Waterboxxes por ha</t>
  </si>
  <si>
    <t>Número de agujetos perforados por ha</t>
  </si>
  <si>
    <t>Gastos de perforación por agujero – máquinas</t>
  </si>
  <si>
    <t>Porcentaje estimado de sobrevivencia</t>
  </si>
  <si>
    <t>m2 por árboles sobreviviente</t>
  </si>
  <si>
    <t>Número de árboles sobreviviente por ha</t>
  </si>
  <si>
    <t>Gastos de perforación por agujero – salario</t>
  </si>
  <si>
    <t>Gastos de taladrar los agujeros por ha</t>
  </si>
  <si>
    <t>Costes de plantación por Groasis Waterboxx – salario</t>
  </si>
  <si>
    <t>Alojamiento, manutención, seguridad social para el personal, etc., por caja estimado en</t>
  </si>
  <si>
    <t>Costes de plantación por ha</t>
  </si>
  <si>
    <t>Cantidad de agua necesaria por caja – antes de la plantación</t>
  </si>
  <si>
    <t>Coste del agua por litro</t>
  </si>
  <si>
    <t>Costes de agua incl. Logística por ha</t>
  </si>
  <si>
    <t>Regar</t>
  </si>
  <si>
    <t>Gastos de limpieza de las cajas/máquinas/agua</t>
  </si>
  <si>
    <t>Costes laborales de la limpieza</t>
  </si>
  <si>
    <t>Costes laborales de las Waterboxxen por hectárea</t>
  </si>
  <si>
    <t>Gastos de administración y organización por ha</t>
  </si>
  <si>
    <t>la cantidad de cajas compradas, aranceles, IVA, transporte y otros costes. Estos costes pueden variar según el país.</t>
  </si>
  <si>
    <t>Este importe incluye los gastos del cultivo, si las plantas se cultivan de forma local</t>
  </si>
  <si>
    <t>Introducción al proyecto:</t>
  </si>
  <si>
    <t>Nota:</t>
  </si>
  <si>
    <t>Inversión necesaria para el proyecto de cultivo</t>
  </si>
  <si>
    <t>años</t>
  </si>
  <si>
    <t>ha/semanas</t>
  </si>
  <si>
    <t>Datos principales del proyecto:</t>
  </si>
  <si>
    <t>INTRODUZCA LA DIMENSIÓN DEL PROYECTO</t>
  </si>
  <si>
    <t>Importante: introduzca aquí el precio de su presupuesto. El precio por defecto no es el precio de mercado, dado que el precio depende de</t>
  </si>
  <si>
    <t>INTRODUZCA LA DURACIÓN DEL PROYECTO</t>
  </si>
  <si>
    <t>INTRODUZCA LA CANTIDAD DE WATERBOXXES POR HECTÁREA</t>
  </si>
  <si>
    <t>INTRODUZCA LA CANTIDAD DE SEMANA QUE PLANTARÁ POR AÑO</t>
  </si>
  <si>
    <t>Velocidad del proyecto de cultivo en ha por semana</t>
  </si>
  <si>
    <t>Inversión anual</t>
  </si>
  <si>
    <t>Inversión por ha</t>
  </si>
  <si>
    <t>Empleo total generado por año</t>
  </si>
  <si>
    <t>Superficie de cultivo</t>
  </si>
  <si>
    <t>Cantidad de árboles vivos tras la finalización del proyecto</t>
  </si>
  <si>
    <t xml:space="preserve">Nota: modifique la cantidad de hectáreas según la situación real, el cálculo se ajustará automáticamente </t>
  </si>
  <si>
    <t xml:space="preserve">Nota: modifique la duración del proyecto según la situación real, el cálculo se ajustará automáticamente </t>
  </si>
  <si>
    <t xml:space="preserve">Nota: modifique el salario según la situación real, el cálculo se ajustará automáticamente </t>
  </si>
  <si>
    <t xml:space="preserve">Nota: puede regar dos árboles por caja; si quiere plantar 600 árboles por hectárea, solo necesitará 300 Waterboxxes </t>
  </si>
  <si>
    <t>Por favor, solo cambie los valores de las celdas amarillas claras.</t>
  </si>
  <si>
    <t xml:space="preserve">Nota: reduzca el número de 52 semanas con la cantidad de semanas en las que no se plantará (en relación a vacaciones, periodos religiosos etc.) e introduzca la cantidad de semanas restantes </t>
  </si>
  <si>
    <t>INTRODUZCA EL SALARIO BRUTO DE UN PLANTADOR</t>
  </si>
  <si>
    <t>Costos de proteccion contra los animales por hectarea</t>
  </si>
  <si>
    <t>Protecion de los árboles contra los animales</t>
  </si>
  <si>
    <t>Costos de seguridad / proteccion de la area</t>
  </si>
  <si>
    <t>Total costos de seguridad y proteccion por hectarea</t>
  </si>
  <si>
    <t>Selecciona el valor adecuado de la lista desplegable. Si plantas 2 variedades, el documento calcula las 2 por 50%-50%</t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</si>
  <si>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>hace productivo el suelo perdido</t>
    </r>
  </si>
  <si>
    <r>
      <t xml:space="preserve">                                            </t>
    </r>
    <r>
      <rPr>
        <b/>
        <i/>
        <sz val="11"/>
        <color indexed="8"/>
        <rFont val="Calibri"/>
        <family val="2"/>
      </rPr>
      <t xml:space="preserve"> hace productivo el suelo perdido</t>
    </r>
  </si>
  <si>
    <t xml:space="preserve">  hace productivo el suelo perdido</t>
  </si>
  <si>
    <t>Nota: si el proyecto dura menos que un año, tienes que dividir el resultado de la celda con 52, y multiplicar con el numero de las semanas que tu proyecto dura</t>
  </si>
  <si>
    <t>Reducción anual de CO₂ en toneladas</t>
  </si>
  <si>
    <t>para la Arbolución</t>
  </si>
  <si>
    <t>Total reducción de toneladas de CO₂ en 50 años después de la siembra</t>
  </si>
  <si>
    <t>Precio por tonelada de CO₂ reducción durante todo el período</t>
  </si>
  <si>
    <t>Los costos estándar la gestión se toman por 10.000 hectáreas</t>
  </si>
  <si>
    <t>La Groasis Waterboxx es un aparato innovador que se reutiliza durante 10 años y que hace posible plantar plantas, arbustos y árboles en terenos sin explotar.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</si>
</sst>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_-* #,##0.00_-;\-* #,##0.00_-;_-* \-??_-;_-@_-"/>
    <numFmt numFmtId="174" formatCode="_-* #,##0_-;\-* #,##0_-;_-* \-??_-;_-@_-"/>
    <numFmt numFmtId="175" formatCode="_-* #,##0.0_-;\-* #,##0.0_-;_-* \-??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_-* #,##0.00000000_-;\-* #,##0.00000000_-;_-* \-??_-;_-@_-"/>
    <numFmt numFmtId="188" formatCode="#,##0_ ;\-#,##0\ "/>
    <numFmt numFmtId="189" formatCode="_-* #,##0.0000000_-;\-* #,##0.0000000_-;_-* \-??_-;_-@_-"/>
    <numFmt numFmtId="190" formatCode="_-* #,##0.000000_-;\-* #,##0.000000_-;_-* \-??_-;_-@_-"/>
    <numFmt numFmtId="191" formatCode="_-* #,##0.00000_-;\-* #,##0.00000_-;_-* \-??_-;_-@_-"/>
    <numFmt numFmtId="192" formatCode="_-* #,##0.0000_-;\-* #,##0.0000_-;_-* \-??_-;_-@_-"/>
    <numFmt numFmtId="193" formatCode="_-* #,##0.000_-;\-* #,##0.000_-;_-* \-??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i/>
      <sz val="18"/>
      <name val="Calibri"/>
      <family val="2"/>
    </font>
    <font>
      <b/>
      <i/>
      <sz val="24"/>
      <color indexed="9"/>
      <name val="Calibri"/>
      <family val="2"/>
    </font>
    <font>
      <sz val="24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9"/>
      <name val="Arial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26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22"/>
      <color indexed="9"/>
      <name val="Calibri"/>
      <family val="2"/>
    </font>
    <font>
      <sz val="2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1" applyNumberFormat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52" applyFill="1">
      <alignment/>
      <protection/>
    </xf>
    <xf numFmtId="0" fontId="2" fillId="33" borderId="0" xfId="52" applyFont="1" applyFill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/>
      <protection/>
    </xf>
    <xf numFmtId="172" fontId="4" fillId="33" borderId="0" xfId="52" applyNumberFormat="1" applyFont="1" applyFill="1" applyAlignment="1">
      <alignment horizontal="center"/>
      <protection/>
    </xf>
    <xf numFmtId="0" fontId="6" fillId="34" borderId="0" xfId="52" applyFont="1" applyFill="1" applyAlignment="1">
      <alignment horizontal="left" wrapText="1"/>
      <protection/>
    </xf>
    <xf numFmtId="0" fontId="7" fillId="33" borderId="0" xfId="52" applyFont="1" applyFill="1" applyAlignment="1">
      <alignment horizontal="center"/>
      <protection/>
    </xf>
    <xf numFmtId="0" fontId="8" fillId="34" borderId="10" xfId="52" applyFont="1" applyFill="1" applyBorder="1" applyAlignment="1">
      <alignment horizontal="center"/>
      <protection/>
    </xf>
    <xf numFmtId="0" fontId="8" fillId="34" borderId="11" xfId="52" applyFont="1" applyFill="1" applyBorder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horizontal="center"/>
      <protection/>
    </xf>
    <xf numFmtId="0" fontId="10" fillId="33" borderId="0" xfId="43" applyNumberFormat="1" applyFont="1" applyFill="1" applyBorder="1" applyAlignment="1" applyProtection="1">
      <alignment horizontal="center"/>
      <protection/>
    </xf>
    <xf numFmtId="0" fontId="11" fillId="33" borderId="0" xfId="52" applyFont="1" applyFill="1" applyAlignment="1">
      <alignment horizontal="center"/>
      <protection/>
    </xf>
    <xf numFmtId="0" fontId="0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74" fontId="0" fillId="36" borderId="12" xfId="45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4" fillId="0" borderId="0" xfId="0" applyFont="1" applyAlignment="1">
      <alignment/>
    </xf>
    <xf numFmtId="174" fontId="0" fillId="33" borderId="0" xfId="45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4" fontId="0" fillId="0" borderId="0" xfId="4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6" borderId="12" xfId="0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2" fontId="0" fillId="36" borderId="0" xfId="0" applyNumberFormat="1" applyFill="1" applyAlignment="1">
      <alignment/>
    </xf>
    <xf numFmtId="3" fontId="15" fillId="0" borderId="0" xfId="0" applyNumberFormat="1" applyFont="1" applyAlignment="1">
      <alignment/>
    </xf>
    <xf numFmtId="9" fontId="0" fillId="36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Alignment="1">
      <alignment/>
    </xf>
    <xf numFmtId="17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36" borderId="0" xfId="55" applyFont="1" applyFill="1" applyBorder="1" applyAlignment="1" applyProtection="1">
      <alignment/>
      <protection/>
    </xf>
    <xf numFmtId="174" fontId="15" fillId="0" borderId="0" xfId="0" applyNumberFormat="1" applyFont="1" applyAlignment="1">
      <alignment/>
    </xf>
    <xf numFmtId="0" fontId="14" fillId="35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37" borderId="0" xfId="0" applyFill="1" applyAlignment="1">
      <alignment/>
    </xf>
    <xf numFmtId="0" fontId="0" fillId="33" borderId="0" xfId="0" applyFill="1" applyAlignment="1">
      <alignment/>
    </xf>
    <xf numFmtId="0" fontId="0" fillId="38" borderId="12" xfId="0" applyFill="1" applyBorder="1" applyAlignment="1">
      <alignment/>
    </xf>
    <xf numFmtId="0" fontId="0" fillId="38" borderId="12" xfId="0" applyFont="1" applyFill="1" applyBorder="1" applyAlignment="1">
      <alignment/>
    </xf>
    <xf numFmtId="174" fontId="0" fillId="38" borderId="12" xfId="45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35" borderId="0" xfId="0" applyFill="1" applyBorder="1" applyAlignment="1">
      <alignment/>
    </xf>
    <xf numFmtId="173" fontId="0" fillId="39" borderId="13" xfId="45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40" borderId="0" xfId="0" applyFill="1" applyBorder="1" applyAlignment="1">
      <alignment/>
    </xf>
    <xf numFmtId="1" fontId="13" fillId="41" borderId="0" xfId="45" applyNumberFormat="1" applyFont="1" applyFill="1" applyBorder="1" applyAlignment="1" applyProtection="1">
      <alignment/>
      <protection/>
    </xf>
    <xf numFmtId="9" fontId="0" fillId="36" borderId="0" xfId="55" applyFill="1" applyAlignment="1">
      <alignment/>
    </xf>
    <xf numFmtId="174" fontId="0" fillId="42" borderId="12" xfId="45" applyNumberFormat="1" applyFont="1" applyFill="1" applyBorder="1" applyAlignment="1" applyProtection="1">
      <alignment/>
      <protection/>
    </xf>
    <xf numFmtId="174" fontId="0" fillId="42" borderId="12" xfId="45" applyNumberFormat="1" applyFont="1" applyFill="1" applyBorder="1" applyAlignment="1" applyProtection="1">
      <alignment/>
      <protection/>
    </xf>
    <xf numFmtId="175" fontId="0" fillId="42" borderId="12" xfId="45" applyNumberFormat="1" applyFont="1" applyFill="1" applyBorder="1" applyAlignment="1" applyProtection="1">
      <alignment/>
      <protection/>
    </xf>
    <xf numFmtId="0" fontId="0" fillId="42" borderId="0" xfId="0" applyFill="1" applyAlignment="1">
      <alignment/>
    </xf>
    <xf numFmtId="1" fontId="0" fillId="42" borderId="0" xfId="0" applyNumberFormat="1" applyFill="1" applyAlignment="1">
      <alignment/>
    </xf>
    <xf numFmtId="2" fontId="0" fillId="42" borderId="0" xfId="0" applyNumberFormat="1" applyFill="1" applyAlignment="1">
      <alignment/>
    </xf>
    <xf numFmtId="0" fontId="20" fillId="42" borderId="0" xfId="0" applyFont="1" applyFill="1" applyAlignment="1">
      <alignment/>
    </xf>
    <xf numFmtId="0" fontId="13" fillId="41" borderId="0" xfId="0" applyFont="1" applyFill="1" applyAlignment="1">
      <alignment/>
    </xf>
    <xf numFmtId="174" fontId="13" fillId="39" borderId="0" xfId="45" applyNumberFormat="1" applyFont="1" applyFill="1" applyBorder="1" applyAlignment="1" applyProtection="1">
      <alignment/>
      <protection/>
    </xf>
    <xf numFmtId="0" fontId="0" fillId="41" borderId="0" xfId="0" applyFill="1" applyAlignment="1">
      <alignment/>
    </xf>
    <xf numFmtId="173" fontId="13" fillId="41" borderId="0" xfId="45" applyFont="1" applyFill="1" applyBorder="1" applyAlignment="1" applyProtection="1">
      <alignment/>
      <protection/>
    </xf>
    <xf numFmtId="3" fontId="0" fillId="43" borderId="0" xfId="0" applyNumberFormat="1" applyFont="1" applyFill="1" applyAlignment="1">
      <alignment/>
    </xf>
    <xf numFmtId="174" fontId="13" fillId="41" borderId="0" xfId="0" applyNumberFormat="1" applyFont="1" applyFill="1" applyAlignment="1">
      <alignment/>
    </xf>
    <xf numFmtId="9" fontId="0" fillId="44" borderId="0" xfId="0" applyNumberFormat="1" applyFill="1" applyAlignment="1">
      <alignment/>
    </xf>
    <xf numFmtId="0" fontId="19" fillId="41" borderId="0" xfId="0" applyFont="1" applyFill="1" applyAlignment="1">
      <alignment/>
    </xf>
    <xf numFmtId="3" fontId="13" fillId="41" borderId="0" xfId="0" applyNumberFormat="1" applyFont="1" applyFill="1" applyAlignment="1">
      <alignment/>
    </xf>
    <xf numFmtId="9" fontId="0" fillId="43" borderId="0" xfId="45" applyNumberFormat="1" applyFont="1" applyFill="1" applyBorder="1" applyAlignment="1" applyProtection="1">
      <alignment/>
      <protection/>
    </xf>
    <xf numFmtId="174" fontId="13" fillId="41" borderId="0" xfId="45" applyNumberFormat="1" applyFont="1" applyFill="1" applyBorder="1" applyAlignment="1" applyProtection="1">
      <alignment/>
      <protection/>
    </xf>
    <xf numFmtId="0" fontId="0" fillId="44" borderId="0" xfId="0" applyFill="1" applyAlignment="1">
      <alignment/>
    </xf>
    <xf numFmtId="3" fontId="0" fillId="44" borderId="0" xfId="0" applyNumberFormat="1" applyFill="1" applyAlignment="1">
      <alignment/>
    </xf>
    <xf numFmtId="9" fontId="0" fillId="43" borderId="0" xfId="0" applyNumberFormat="1" applyFill="1" applyAlignment="1">
      <alignment/>
    </xf>
    <xf numFmtId="0" fontId="12" fillId="35" borderId="0" xfId="0" applyFont="1" applyFill="1" applyBorder="1" applyAlignment="1">
      <alignment/>
    </xf>
    <xf numFmtId="3" fontId="0" fillId="40" borderId="13" xfId="0" applyNumberFormat="1" applyFill="1" applyBorder="1" applyAlignment="1">
      <alignment/>
    </xf>
    <xf numFmtId="172" fontId="25" fillId="33" borderId="0" xfId="52" applyNumberFormat="1" applyFont="1" applyFill="1" applyAlignment="1">
      <alignment horizontal="center"/>
      <protection/>
    </xf>
    <xf numFmtId="174" fontId="0" fillId="0" borderId="0" xfId="45" applyNumberFormat="1" applyAlignment="1">
      <alignment/>
    </xf>
    <xf numFmtId="174" fontId="0" fillId="43" borderId="0" xfId="45" applyNumberFormat="1" applyFill="1" applyAlignment="1">
      <alignment/>
    </xf>
    <xf numFmtId="0" fontId="26" fillId="33" borderId="0" xfId="52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174" fontId="0" fillId="33" borderId="0" xfId="0" applyNumberFormat="1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rmal 2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1876425</xdr:colOff>
      <xdr:row>5</xdr:row>
      <xdr:rowOff>57150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76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1266825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1247775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1247775</xdr:colOff>
      <xdr:row>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1285875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1276350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1276350</xdr:colOff>
      <xdr:row>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off@groasi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1" max="1" width="90.140625" style="1" customWidth="1"/>
    <col min="2" max="16384" width="9.140625" style="1" customWidth="1"/>
  </cols>
  <sheetData>
    <row r="1" ht="12.75">
      <c r="A1" s="2"/>
    </row>
    <row r="2" ht="12.75">
      <c r="A2" s="2"/>
    </row>
    <row r="3" ht="23.25">
      <c r="A3" s="3"/>
    </row>
    <row r="4" ht="12.75">
      <c r="A4" s="2"/>
    </row>
    <row r="5" ht="12.75">
      <c r="A5" s="2"/>
    </row>
    <row r="6" ht="12.75">
      <c r="A6" s="2"/>
    </row>
    <row r="7" ht="98.25" customHeight="1">
      <c r="A7" s="4" t="s">
        <v>11</v>
      </c>
    </row>
    <row r="8" ht="31.5">
      <c r="A8" s="5" t="s">
        <v>12</v>
      </c>
    </row>
    <row r="9" ht="28.5">
      <c r="A9" s="91" t="s">
        <v>13</v>
      </c>
    </row>
    <row r="10" ht="34.5">
      <c r="A10" s="94" t="s">
        <v>173</v>
      </c>
    </row>
    <row r="11" ht="31.5">
      <c r="A11" s="6"/>
    </row>
    <row r="12" ht="63">
      <c r="A12" s="7" t="s">
        <v>16</v>
      </c>
    </row>
    <row r="13" ht="15.75">
      <c r="A13" s="8"/>
    </row>
    <row r="14" ht="12.75">
      <c r="A14" s="9" t="s">
        <v>15</v>
      </c>
    </row>
    <row r="15" ht="12.75">
      <c r="A15" s="10" t="s">
        <v>17</v>
      </c>
    </row>
    <row r="18" ht="15.75">
      <c r="A18" s="11"/>
    </row>
    <row r="19" ht="15.75">
      <c r="A19" s="11"/>
    </row>
    <row r="20" ht="12.75">
      <c r="A20" s="2"/>
    </row>
    <row r="21" ht="12.75">
      <c r="A21" s="2"/>
    </row>
    <row r="22" ht="12.75">
      <c r="A22" s="2"/>
    </row>
    <row r="23" ht="15.75">
      <c r="A23" s="12" t="s">
        <v>0</v>
      </c>
    </row>
    <row r="24" ht="12.75">
      <c r="A24" s="13" t="s">
        <v>1</v>
      </c>
    </row>
    <row r="25" ht="15.75">
      <c r="A25" s="12"/>
    </row>
    <row r="27" ht="12.75">
      <c r="A27" s="2"/>
    </row>
    <row r="28" ht="12.75">
      <c r="A28" s="14" t="s">
        <v>14</v>
      </c>
    </row>
  </sheetData>
  <sheetProtection selectLockedCells="1" selectUnlockedCells="1"/>
  <hyperlinks>
    <hyperlink ref="A24" r:id="rId1" display="phoff@groasis.com"/>
  </hyperlinks>
  <printOptions/>
  <pageMargins left="0.75" right="0.75" top="1" bottom="1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140625" style="0" customWidth="1"/>
    <col min="2" max="2" width="16.140625" style="0" customWidth="1"/>
    <col min="3" max="3" width="18.421875" style="0" customWidth="1"/>
    <col min="4" max="4" width="3.140625" style="0" customWidth="1"/>
  </cols>
  <sheetData>
    <row r="1" spans="1:5" s="16" customFormat="1" ht="27" customHeight="1">
      <c r="A1" s="62" t="s">
        <v>169</v>
      </c>
      <c r="B1" s="15"/>
      <c r="C1" s="15"/>
      <c r="D1" s="95"/>
      <c r="E1" s="95"/>
    </row>
    <row r="2" spans="1:5" s="16" customFormat="1" ht="15">
      <c r="A2" s="15" t="s">
        <v>2</v>
      </c>
      <c r="B2" s="15"/>
      <c r="C2" s="15"/>
      <c r="D2" s="95"/>
      <c r="E2" s="95"/>
    </row>
    <row r="3" s="16" customFormat="1" ht="15"/>
    <row r="4" s="16" customFormat="1" ht="15">
      <c r="A4" s="17" t="s">
        <v>139</v>
      </c>
    </row>
    <row r="5" spans="1:5" s="16" customFormat="1" ht="30.75" customHeight="1">
      <c r="A5" s="97" t="s">
        <v>177</v>
      </c>
      <c r="B5" s="98"/>
      <c r="C5" s="98"/>
      <c r="D5" s="98"/>
      <c r="E5" s="98"/>
    </row>
    <row r="7" ht="15" customHeight="1" thickBot="1">
      <c r="A7" t="s">
        <v>140</v>
      </c>
    </row>
    <row r="8" spans="1:3" ht="15" customHeight="1" thickBot="1">
      <c r="A8" t="s">
        <v>160</v>
      </c>
      <c r="C8" s="69"/>
    </row>
    <row r="10" ht="15.75" thickBot="1">
      <c r="A10" s="18" t="s">
        <v>144</v>
      </c>
    </row>
    <row r="11" spans="1:5" ht="15.75" thickBot="1">
      <c r="A11" s="68" t="s">
        <v>145</v>
      </c>
      <c r="B11" s="20" t="s">
        <v>3</v>
      </c>
      <c r="C11" s="69">
        <v>2000000000</v>
      </c>
      <c r="E11" s="21" t="s">
        <v>156</v>
      </c>
    </row>
    <row r="12" spans="1:5" ht="15.75" thickBot="1">
      <c r="A12" s="19" t="s">
        <v>147</v>
      </c>
      <c r="B12" s="56" t="s">
        <v>142</v>
      </c>
      <c r="C12" s="69">
        <v>60</v>
      </c>
      <c r="E12" s="21" t="s">
        <v>157</v>
      </c>
    </row>
    <row r="13" spans="1:5" ht="15.75" thickBot="1">
      <c r="A13" s="19" t="s">
        <v>162</v>
      </c>
      <c r="B13" s="20" t="s">
        <v>4</v>
      </c>
      <c r="C13" s="70">
        <v>5</v>
      </c>
      <c r="E13" s="21" t="s">
        <v>158</v>
      </c>
    </row>
    <row r="14" spans="1:5" ht="15.75" thickBot="1">
      <c r="A14" s="19" t="s">
        <v>148</v>
      </c>
      <c r="B14" s="20"/>
      <c r="C14" s="69">
        <v>250</v>
      </c>
      <c r="E14" s="21" t="s">
        <v>159</v>
      </c>
    </row>
    <row r="15" spans="1:5" ht="15.75" thickBot="1">
      <c r="A15" s="19" t="s">
        <v>149</v>
      </c>
      <c r="B15" s="20"/>
      <c r="C15" s="69">
        <v>46</v>
      </c>
      <c r="E15" s="21" t="s">
        <v>161</v>
      </c>
    </row>
    <row r="16" spans="1:4" ht="15">
      <c r="A16" s="22" t="s">
        <v>150</v>
      </c>
      <c r="B16" s="56" t="s">
        <v>143</v>
      </c>
      <c r="C16" s="22">
        <f>Empleo!C13</f>
        <v>724637.6811594203</v>
      </c>
      <c r="D16" s="21"/>
    </row>
    <row r="17" spans="1:3" ht="15">
      <c r="A17" s="56" t="s">
        <v>151</v>
      </c>
      <c r="B17" s="20" t="s">
        <v>5</v>
      </c>
      <c r="C17" s="22">
        <f>C25/C12</f>
        <v>56275.199591666664</v>
      </c>
    </row>
    <row r="18" spans="1:3" ht="15">
      <c r="A18" s="56" t="s">
        <v>152</v>
      </c>
      <c r="B18" s="20" t="s">
        <v>4</v>
      </c>
      <c r="C18" s="22">
        <f>(C25*1000000)/C11</f>
        <v>1688.2559877499998</v>
      </c>
    </row>
    <row r="19" spans="1:3" ht="15">
      <c r="A19" s="56" t="s">
        <v>153</v>
      </c>
      <c r="B19" s="20"/>
      <c r="C19" s="22">
        <f>Empleo!C53</f>
        <v>7481233.666666667</v>
      </c>
    </row>
    <row r="20" spans="1:3" ht="15">
      <c r="A20" s="56" t="s">
        <v>154</v>
      </c>
      <c r="B20" s="20" t="s">
        <v>6</v>
      </c>
      <c r="C20" s="22">
        <f>Cultivo!C26</f>
        <v>77717391.30434781</v>
      </c>
    </row>
    <row r="21" spans="1:3" ht="15">
      <c r="A21" s="56" t="s">
        <v>172</v>
      </c>
      <c r="B21" s="20">
        <v>15</v>
      </c>
      <c r="C21" s="22">
        <f>C11*B21</f>
        <v>30000000000</v>
      </c>
    </row>
    <row r="22" spans="1:3" ht="15.75" thickBot="1">
      <c r="A22" s="56" t="s">
        <v>174</v>
      </c>
      <c r="B22" s="96">
        <f>50+(C12/2)</f>
        <v>80</v>
      </c>
      <c r="C22" s="22">
        <f>C21*B22</f>
        <v>2400000000000</v>
      </c>
    </row>
    <row r="23" spans="1:3" ht="15.75" thickBot="1">
      <c r="A23" s="56" t="s">
        <v>175</v>
      </c>
      <c r="B23" s="20"/>
      <c r="C23" s="63">
        <f>(C25*1000000)/C22</f>
        <v>1.4068799897916664</v>
      </c>
    </row>
    <row r="24" spans="1:3" ht="15.75" thickBot="1">
      <c r="A24" s="56" t="s">
        <v>155</v>
      </c>
      <c r="B24" s="20"/>
      <c r="C24" s="22">
        <f>'Costes de plantación'!C16*'Costes de plantación'!C22*'Costes de plantación'!C8</f>
        <v>900000000000</v>
      </c>
    </row>
    <row r="25" spans="1:3" ht="15">
      <c r="A25" s="57" t="s">
        <v>141</v>
      </c>
      <c r="B25" s="58" t="s">
        <v>5</v>
      </c>
      <c r="C25" s="59">
        <f>'Costes de plantación'!C59*'Costes de plantación'!C8/1000000</f>
        <v>3376511.9754999997</v>
      </c>
    </row>
    <row r="26" spans="1:3" s="25" customFormat="1" ht="15">
      <c r="A26" s="23"/>
      <c r="B26" s="23"/>
      <c r="C26" s="24"/>
    </row>
    <row r="27" ht="15">
      <c r="A27" s="18"/>
    </row>
    <row r="28" spans="1:3" ht="15">
      <c r="A28" s="55"/>
      <c r="B28" s="25"/>
      <c r="C28" s="65"/>
    </row>
    <row r="29" ht="15">
      <c r="C29" s="86"/>
    </row>
  </sheetData>
  <sheetProtection selectLockedCells="1" selectUnlockedCells="1"/>
  <mergeCells count="1"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"/>
    </sheetView>
  </sheetViews>
  <sheetFormatPr defaultColWidth="37.28125" defaultRowHeight="15"/>
  <cols>
    <col min="1" max="1" width="51.57421875" style="0" customWidth="1"/>
    <col min="2" max="2" width="14.00390625" style="0" customWidth="1"/>
    <col min="3" max="3" width="17.140625" style="0" customWidth="1"/>
    <col min="4" max="4" width="7.57421875" style="0" customWidth="1"/>
    <col min="5" max="5" width="10.00390625" style="0" customWidth="1"/>
    <col min="6" max="6" width="11.00390625" style="0" customWidth="1"/>
    <col min="7" max="7" width="11.28125" style="0" customWidth="1"/>
    <col min="8" max="8" width="9.8515625" style="0" customWidth="1"/>
    <col min="9" max="9" width="8.57421875" style="0" customWidth="1"/>
    <col min="10" max="10" width="8.421875" style="0" customWidth="1"/>
    <col min="11" max="11" width="10.421875" style="0" customWidth="1"/>
    <col min="12" max="12" width="9.140625" style="0" customWidth="1"/>
    <col min="13" max="13" width="11.421875" style="0" customWidth="1"/>
    <col min="14" max="14" width="11.00390625" style="0" customWidth="1"/>
    <col min="15" max="15" width="10.140625" style="0" customWidth="1"/>
  </cols>
  <sheetData>
    <row r="1" spans="1:5" s="16" customFormat="1" ht="27" customHeight="1">
      <c r="A1" s="15" t="s">
        <v>168</v>
      </c>
      <c r="B1" s="15"/>
      <c r="C1" s="15"/>
      <c r="D1" s="95"/>
      <c r="E1" s="95"/>
    </row>
    <row r="2" spans="1:5" s="16" customFormat="1" ht="15">
      <c r="A2" s="15" t="s">
        <v>2</v>
      </c>
      <c r="B2" s="15"/>
      <c r="C2" s="15"/>
      <c r="D2" s="95"/>
      <c r="E2" s="95"/>
    </row>
    <row r="4" ht="15">
      <c r="A4" t="s">
        <v>101</v>
      </c>
    </row>
    <row r="6" spans="1:3" ht="15">
      <c r="A6" s="27" t="s">
        <v>43</v>
      </c>
      <c r="B6" s="28" t="s">
        <v>45</v>
      </c>
      <c r="C6" s="29" t="s">
        <v>46</v>
      </c>
    </row>
    <row r="8" spans="1:3" ht="15">
      <c r="A8" t="s">
        <v>65</v>
      </c>
      <c r="B8" t="s">
        <v>7</v>
      </c>
      <c r="C8" s="24">
        <f>'Introducción y datos principale'!C11</f>
        <v>2000000000</v>
      </c>
    </row>
    <row r="9" spans="1:3" ht="15">
      <c r="A9" t="s">
        <v>66</v>
      </c>
      <c r="B9" t="s">
        <v>64</v>
      </c>
      <c r="C9" s="24">
        <f>'Introducción y datos principale'!C12</f>
        <v>60</v>
      </c>
    </row>
    <row r="11" spans="1:3" ht="15">
      <c r="A11" t="s">
        <v>107</v>
      </c>
      <c r="B11" t="s">
        <v>4</v>
      </c>
      <c r="C11" s="24">
        <f>Empleo!C42*'Introducción y datos principale'!C13</f>
        <v>40</v>
      </c>
    </row>
    <row r="12" spans="1:3" ht="15">
      <c r="A12" s="30" t="s">
        <v>108</v>
      </c>
      <c r="B12" s="30" t="s">
        <v>4</v>
      </c>
      <c r="C12" s="31">
        <f>C11</f>
        <v>40</v>
      </c>
    </row>
    <row r="14" spans="1:3" ht="15">
      <c r="A14" t="s">
        <v>109</v>
      </c>
      <c r="C14" s="32">
        <f>'Introducción y datos principale'!C14</f>
        <v>250</v>
      </c>
    </row>
    <row r="15" spans="1:14" ht="15">
      <c r="A15" t="s">
        <v>110</v>
      </c>
      <c r="C15" s="33">
        <v>2</v>
      </c>
      <c r="E15" s="21" t="s">
        <v>116</v>
      </c>
      <c r="M15" s="34">
        <v>1</v>
      </c>
      <c r="N15" s="34">
        <v>2</v>
      </c>
    </row>
    <row r="16" spans="1:3" ht="15">
      <c r="A16" t="s">
        <v>111</v>
      </c>
      <c r="C16" s="32">
        <f>C14*C15</f>
        <v>500</v>
      </c>
    </row>
    <row r="17" spans="1:17" ht="15">
      <c r="A17" t="s">
        <v>112</v>
      </c>
      <c r="C17" s="33">
        <v>2</v>
      </c>
      <c r="E17" s="60" t="s">
        <v>167</v>
      </c>
      <c r="F17" s="25"/>
      <c r="G17" s="25"/>
      <c r="H17" s="25"/>
      <c r="I17" s="25"/>
      <c r="J17" s="25"/>
      <c r="K17" s="25"/>
      <c r="L17" s="25"/>
      <c r="M17" s="61">
        <v>1</v>
      </c>
      <c r="N17" s="61">
        <v>2</v>
      </c>
      <c r="O17" s="25"/>
      <c r="P17" s="25"/>
      <c r="Q17" s="25"/>
    </row>
    <row r="18" spans="1:5" ht="15">
      <c r="A18" t="s">
        <v>113</v>
      </c>
      <c r="B18" t="s">
        <v>4</v>
      </c>
      <c r="C18" s="33">
        <v>0.25</v>
      </c>
      <c r="E18" s="21" t="s">
        <v>138</v>
      </c>
    </row>
    <row r="19" spans="1:5" ht="15">
      <c r="A19" t="s">
        <v>114</v>
      </c>
      <c r="B19" t="s">
        <v>4</v>
      </c>
      <c r="C19" s="73">
        <v>0.25</v>
      </c>
      <c r="E19" s="21" t="s">
        <v>138</v>
      </c>
    </row>
    <row r="20" spans="1:3" ht="15">
      <c r="A20" s="30" t="s">
        <v>115</v>
      </c>
      <c r="B20" s="30" t="s">
        <v>4</v>
      </c>
      <c r="C20" s="37">
        <f>IF(C17=M17,(C16*C18),(((C16/2)*C18)+((C16/2)*C19)))</f>
        <v>125</v>
      </c>
    </row>
    <row r="22" spans="1:3" ht="15">
      <c r="A22" t="s">
        <v>121</v>
      </c>
      <c r="B22" t="s">
        <v>8</v>
      </c>
      <c r="C22" s="38">
        <v>0.9</v>
      </c>
    </row>
    <row r="23" spans="1:3" ht="15">
      <c r="A23" t="s">
        <v>123</v>
      </c>
      <c r="C23" s="39">
        <f>C22*C16</f>
        <v>450</v>
      </c>
    </row>
    <row r="24" spans="1:3" ht="15">
      <c r="A24" t="s">
        <v>122</v>
      </c>
      <c r="B24" t="s">
        <v>6</v>
      </c>
      <c r="C24" s="40">
        <f>ROUND(10000/(C16*C22),0)</f>
        <v>22</v>
      </c>
    </row>
    <row r="26" spans="1:5" s="50" customFormat="1" ht="15">
      <c r="A26" s="50" t="s">
        <v>117</v>
      </c>
      <c r="B26" s="50" t="s">
        <v>4</v>
      </c>
      <c r="C26" s="74">
        <v>15</v>
      </c>
      <c r="E26" s="51" t="s">
        <v>146</v>
      </c>
    </row>
    <row r="27" spans="1:5" s="50" customFormat="1" ht="15">
      <c r="A27" s="52" t="s">
        <v>118</v>
      </c>
      <c r="B27" s="52" t="s">
        <v>4</v>
      </c>
      <c r="C27" s="53">
        <f>(((C26/10)+5%)*C14)</f>
        <v>387.5</v>
      </c>
      <c r="E27" s="51" t="s">
        <v>137</v>
      </c>
    </row>
    <row r="29" spans="1:3" ht="15">
      <c r="A29" t="s">
        <v>119</v>
      </c>
      <c r="C29" s="39">
        <f>C14</f>
        <v>250</v>
      </c>
    </row>
    <row r="30" spans="1:3" ht="15">
      <c r="A30" t="s">
        <v>120</v>
      </c>
      <c r="B30" t="s">
        <v>4</v>
      </c>
      <c r="C30" s="36">
        <v>0.18</v>
      </c>
    </row>
    <row r="31" spans="1:3" ht="15">
      <c r="A31" t="s">
        <v>124</v>
      </c>
      <c r="B31" t="s">
        <v>4</v>
      </c>
      <c r="C31" s="41">
        <f>'Introducción y datos principale'!C13/Empleo!C23</f>
        <v>0.16666666666666666</v>
      </c>
    </row>
    <row r="32" spans="1:3" ht="15">
      <c r="A32" s="30" t="s">
        <v>125</v>
      </c>
      <c r="B32" s="30" t="s">
        <v>4</v>
      </c>
      <c r="C32" s="31">
        <f>C29*(C30+C31)</f>
        <v>86.66666666666667</v>
      </c>
    </row>
    <row r="34" spans="1:3" ht="15">
      <c r="A34" t="s">
        <v>126</v>
      </c>
      <c r="B34" s="35" t="s">
        <v>4</v>
      </c>
      <c r="C34" s="64">
        <f>'Introducción y datos principale'!C13/Empleo!C28</f>
        <v>0.625</v>
      </c>
    </row>
    <row r="35" spans="1:3" ht="30">
      <c r="A35" s="54" t="s">
        <v>127</v>
      </c>
      <c r="B35" s="35" t="s">
        <v>4</v>
      </c>
      <c r="C35" s="41">
        <f>Empleo!C49/Empleo!C29</f>
        <v>0.546875</v>
      </c>
    </row>
    <row r="36" spans="1:3" ht="15">
      <c r="A36" s="30" t="s">
        <v>128</v>
      </c>
      <c r="B36" s="30" t="s">
        <v>4</v>
      </c>
      <c r="C36" s="37">
        <f>(C34+C35)*C14</f>
        <v>292.96875</v>
      </c>
    </row>
    <row r="38" spans="1:16" ht="15">
      <c r="A38" t="s">
        <v>129</v>
      </c>
      <c r="B38" t="s">
        <v>102</v>
      </c>
      <c r="C38" s="33">
        <v>60</v>
      </c>
      <c r="E38" s="21" t="s">
        <v>93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3" ht="15">
      <c r="A39" t="s">
        <v>130</v>
      </c>
      <c r="B39" s="35" t="s">
        <v>4</v>
      </c>
      <c r="C39" s="71">
        <v>0.01</v>
      </c>
    </row>
    <row r="40" spans="1:3" ht="15">
      <c r="A40" s="30" t="s">
        <v>131</v>
      </c>
      <c r="B40" s="30" t="s">
        <v>4</v>
      </c>
      <c r="C40" s="30">
        <f>C39*(C38*C14)</f>
        <v>150</v>
      </c>
    </row>
    <row r="42" spans="1:3" ht="15">
      <c r="A42" s="30" t="s">
        <v>132</v>
      </c>
      <c r="B42" s="30"/>
      <c r="C42" s="30">
        <f>(C14/Empleo!C39)*'Introducción y datos principale'!C13</f>
        <v>62.5</v>
      </c>
    </row>
    <row r="44" spans="1:3" ht="15">
      <c r="A44" t="s">
        <v>164</v>
      </c>
      <c r="B44" t="s">
        <v>4</v>
      </c>
      <c r="C44" s="71">
        <v>0.3</v>
      </c>
    </row>
    <row r="45" spans="1:3" ht="15">
      <c r="A45" s="30" t="s">
        <v>163</v>
      </c>
      <c r="B45" s="30" t="s">
        <v>4</v>
      </c>
      <c r="C45" s="30">
        <f>C44*C16</f>
        <v>150</v>
      </c>
    </row>
    <row r="47" spans="1:3" ht="15">
      <c r="A47" t="s">
        <v>133</v>
      </c>
      <c r="C47" s="71">
        <v>0.05</v>
      </c>
    </row>
    <row r="48" spans="1:3" ht="15">
      <c r="A48" t="s">
        <v>134</v>
      </c>
      <c r="C48">
        <f>'Introducción y datos principale'!$C$13/('Costes de plantación'!C14/Empleo!C32)</f>
        <v>0.24000000000000002</v>
      </c>
    </row>
    <row r="49" spans="1:3" ht="15">
      <c r="A49" s="30" t="s">
        <v>135</v>
      </c>
      <c r="B49" s="30"/>
      <c r="C49" s="30">
        <f>(C47+C48)*C14</f>
        <v>72.50000000000001</v>
      </c>
    </row>
    <row r="51" spans="1:5" ht="15">
      <c r="A51" s="30" t="s">
        <v>136</v>
      </c>
      <c r="B51" s="35" t="s">
        <v>4</v>
      </c>
      <c r="C51" s="72">
        <f>('Diagrama de flujo gestión'!E28+'Diagrama de flujo gestión'!H28)/'Diagrama de flujo gestión'!C7</f>
        <v>72.128</v>
      </c>
      <c r="E51" s="21" t="s">
        <v>171</v>
      </c>
    </row>
    <row r="52" spans="1:3" ht="15">
      <c r="A52" s="30"/>
      <c r="B52" s="30"/>
      <c r="C52" s="31"/>
    </row>
    <row r="53" spans="1:3" ht="15">
      <c r="A53" t="s">
        <v>165</v>
      </c>
      <c r="B53" t="s">
        <v>8</v>
      </c>
      <c r="C53" s="38">
        <v>0.02</v>
      </c>
    </row>
    <row r="54" spans="1:3" ht="15">
      <c r="A54" s="30" t="s">
        <v>166</v>
      </c>
      <c r="B54" s="30" t="s">
        <v>4</v>
      </c>
      <c r="C54" s="31">
        <f>C53*(C51+C49+C45+C42+C40+C36+C32+C27+C20+C12)</f>
        <v>28.785268333333335</v>
      </c>
    </row>
    <row r="56" spans="1:3" ht="15">
      <c r="A56" t="s">
        <v>36</v>
      </c>
      <c r="B56" t="s">
        <v>8</v>
      </c>
      <c r="C56" s="38">
        <v>0.15</v>
      </c>
    </row>
    <row r="57" spans="1:3" ht="15">
      <c r="A57" s="30" t="s">
        <v>104</v>
      </c>
      <c r="B57" s="30" t="s">
        <v>4</v>
      </c>
      <c r="C57" s="31">
        <f>C56*(C54+C51+C49+C45+C42+C40+C36+C32+C27+C20+C12)</f>
        <v>220.20730275</v>
      </c>
    </row>
    <row r="59" spans="1:3" ht="15">
      <c r="A59" s="75" t="s">
        <v>105</v>
      </c>
      <c r="B59" s="75" t="s">
        <v>9</v>
      </c>
      <c r="C59" s="76">
        <f>C12+C20+C27+C32+C36+C40+C42+C45+C49+C51+C54+C57</f>
        <v>1688.2559877499998</v>
      </c>
    </row>
    <row r="60" spans="1:3" ht="15">
      <c r="A60" s="77"/>
      <c r="B60" s="75" t="s">
        <v>103</v>
      </c>
      <c r="C60" s="78">
        <f>C59/C16</f>
        <v>3.3765119754999997</v>
      </c>
    </row>
  </sheetData>
  <sheetProtection selectLockedCells="1" selectUnlockedCells="1"/>
  <dataValidations count="1">
    <dataValidation type="list" allowBlank="1" showErrorMessage="1" sqref="C15 C17">
      <formula1>'Costes de plantación'!$M$17:$N$17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140625" style="0" customWidth="1"/>
    <col min="3" max="3" width="14.00390625" style="0" customWidth="1"/>
    <col min="4" max="5" width="10.57421875" style="0" customWidth="1"/>
    <col min="11" max="11" width="10.00390625" style="0" customWidth="1"/>
  </cols>
  <sheetData>
    <row r="1" spans="1:6" s="16" customFormat="1" ht="27" customHeight="1">
      <c r="A1" s="15" t="s">
        <v>169</v>
      </c>
      <c r="B1" s="15"/>
      <c r="C1" s="15"/>
      <c r="D1" s="23"/>
      <c r="E1" s="23"/>
      <c r="F1" s="23"/>
    </row>
    <row r="2" spans="1:6" s="16" customFormat="1" ht="15">
      <c r="A2" s="15" t="s">
        <v>2</v>
      </c>
      <c r="B2" s="15"/>
      <c r="C2" s="15"/>
      <c r="D2" s="23"/>
      <c r="E2" s="23"/>
      <c r="F2" s="23"/>
    </row>
    <row r="4" ht="15">
      <c r="A4" t="s">
        <v>63</v>
      </c>
    </row>
    <row r="6" spans="1:3" ht="15">
      <c r="A6" s="27" t="s">
        <v>43</v>
      </c>
      <c r="B6" s="28" t="s">
        <v>45</v>
      </c>
      <c r="C6" s="29" t="s">
        <v>46</v>
      </c>
    </row>
    <row r="8" spans="1:3" ht="15">
      <c r="A8" t="s">
        <v>65</v>
      </c>
      <c r="B8" t="s">
        <v>7</v>
      </c>
      <c r="C8" s="24">
        <f>'Costes de plantación'!C8</f>
        <v>2000000000</v>
      </c>
    </row>
    <row r="9" spans="1:3" ht="15">
      <c r="A9" t="s">
        <v>66</v>
      </c>
      <c r="B9" t="s">
        <v>64</v>
      </c>
      <c r="C9" s="24">
        <f>'Costes de plantación'!C9</f>
        <v>60</v>
      </c>
    </row>
    <row r="11" spans="1:3" ht="15">
      <c r="A11" t="s">
        <v>67</v>
      </c>
      <c r="B11" t="s">
        <v>7</v>
      </c>
      <c r="C11" s="24">
        <f>C8/C9</f>
        <v>33333333.333333332</v>
      </c>
    </row>
    <row r="12" spans="1:3" ht="15">
      <c r="A12" t="s">
        <v>68</v>
      </c>
      <c r="B12" t="s">
        <v>47</v>
      </c>
      <c r="C12" s="24">
        <f>'Introducción y datos principale'!C15</f>
        <v>46</v>
      </c>
    </row>
    <row r="13" spans="1:3" ht="15">
      <c r="A13" t="s">
        <v>69</v>
      </c>
      <c r="B13" t="s">
        <v>7</v>
      </c>
      <c r="C13" s="43">
        <f>C11/C12</f>
        <v>724637.6811594203</v>
      </c>
    </row>
    <row r="15" spans="1:3" ht="15">
      <c r="A15" t="s">
        <v>70</v>
      </c>
      <c r="C15" s="44">
        <f>C13*'Costes de plantación'!C14</f>
        <v>181159420.28985506</v>
      </c>
    </row>
    <row r="16" spans="1:3" ht="15">
      <c r="A16" t="s">
        <v>71</v>
      </c>
      <c r="C16" s="44">
        <f>C13*'Costes de plantación'!C16</f>
        <v>362318840.5797101</v>
      </c>
    </row>
    <row r="18" spans="1:3" ht="15">
      <c r="A18" t="s">
        <v>74</v>
      </c>
      <c r="B18" t="s">
        <v>72</v>
      </c>
      <c r="C18" s="33">
        <v>5</v>
      </c>
    </row>
    <row r="19" spans="1:3" ht="15">
      <c r="A19" t="s">
        <v>75</v>
      </c>
      <c r="B19" t="s">
        <v>73</v>
      </c>
      <c r="C19" s="33">
        <v>8</v>
      </c>
    </row>
    <row r="20" spans="1:3" ht="15">
      <c r="A20" t="s">
        <v>76</v>
      </c>
      <c r="C20" s="44">
        <f>C15/C18</f>
        <v>36231884.057971016</v>
      </c>
    </row>
    <row r="22" spans="1:3" ht="15">
      <c r="A22" t="s">
        <v>77</v>
      </c>
      <c r="B22" t="s">
        <v>73</v>
      </c>
      <c r="C22" s="33">
        <v>12</v>
      </c>
    </row>
    <row r="23" spans="1:3" ht="15">
      <c r="A23" t="s">
        <v>78</v>
      </c>
      <c r="C23" s="33">
        <v>30</v>
      </c>
    </row>
    <row r="24" spans="1:3" ht="15">
      <c r="A24" t="s">
        <v>79</v>
      </c>
      <c r="C24" s="39">
        <f>C22*C23</f>
        <v>360</v>
      </c>
    </row>
    <row r="25" spans="1:3" ht="15">
      <c r="A25" t="s">
        <v>80</v>
      </c>
      <c r="C25" s="44">
        <f>ROUND(C20/C24,0)</f>
        <v>100644</v>
      </c>
    </row>
    <row r="26" spans="1:12" ht="15">
      <c r="A26" s="30" t="s">
        <v>81</v>
      </c>
      <c r="B26" s="30"/>
      <c r="C26" s="31">
        <f>ROUND(C25*C22/C19,0)</f>
        <v>150966</v>
      </c>
      <c r="L26" s="45"/>
    </row>
    <row r="28" spans="1:3" ht="15">
      <c r="A28" t="s">
        <v>83</v>
      </c>
      <c r="C28" s="33">
        <v>8</v>
      </c>
    </row>
    <row r="29" spans="1:3" ht="15">
      <c r="A29" t="s">
        <v>86</v>
      </c>
      <c r="C29" s="39">
        <f>C19*C28</f>
        <v>64</v>
      </c>
    </row>
    <row r="30" spans="1:3" ht="15">
      <c r="A30" s="30" t="s">
        <v>82</v>
      </c>
      <c r="B30" s="30"/>
      <c r="C30" s="31">
        <f>ROUND(C20/C29,0)</f>
        <v>566123</v>
      </c>
    </row>
    <row r="32" spans="1:3" ht="15">
      <c r="A32" t="s">
        <v>87</v>
      </c>
      <c r="C32" s="33">
        <v>12</v>
      </c>
    </row>
    <row r="33" spans="1:3" ht="15">
      <c r="A33" t="s">
        <v>88</v>
      </c>
      <c r="C33" s="39">
        <f>C19*C32</f>
        <v>96</v>
      </c>
    </row>
    <row r="34" spans="1:5" ht="15">
      <c r="A34" s="30" t="s">
        <v>84</v>
      </c>
      <c r="C34" s="49">
        <f>ROUND(C20/C33,0)</f>
        <v>377415</v>
      </c>
      <c r="D34" s="21" t="s">
        <v>90</v>
      </c>
      <c r="E34" s="21"/>
    </row>
    <row r="35" ht="15">
      <c r="A35" s="30"/>
    </row>
    <row r="36" spans="1:3" ht="15">
      <c r="A36" s="30" t="s">
        <v>85</v>
      </c>
      <c r="B36" s="30"/>
      <c r="C36" s="33">
        <v>100</v>
      </c>
    </row>
    <row r="37" spans="1:3" ht="15">
      <c r="A37" s="30" t="s">
        <v>89</v>
      </c>
      <c r="B37" s="30"/>
      <c r="C37" s="31">
        <f>((C15/C18)/C36)/C19</f>
        <v>45289.85507246377</v>
      </c>
    </row>
    <row r="38" spans="1:3" ht="15">
      <c r="A38" s="30"/>
      <c r="B38" s="30"/>
      <c r="C38" s="31"/>
    </row>
    <row r="39" spans="1:5" ht="15">
      <c r="A39" s="30" t="s">
        <v>91</v>
      </c>
      <c r="B39" s="30"/>
      <c r="C39" s="33">
        <v>20</v>
      </c>
      <c r="D39" s="21" t="s">
        <v>93</v>
      </c>
      <c r="E39" s="21"/>
    </row>
    <row r="40" spans="1:3" ht="15">
      <c r="A40" s="30" t="s">
        <v>92</v>
      </c>
      <c r="B40" s="30"/>
      <c r="C40" s="31">
        <f>((C15/C18)/C39)/C19</f>
        <v>226449.27536231885</v>
      </c>
    </row>
    <row r="42" spans="1:3" ht="15">
      <c r="A42" t="s">
        <v>94</v>
      </c>
      <c r="B42" t="s">
        <v>73</v>
      </c>
      <c r="C42" s="71">
        <v>8</v>
      </c>
    </row>
    <row r="43" spans="1:3" ht="15">
      <c r="A43" t="s">
        <v>95</v>
      </c>
      <c r="B43" t="s">
        <v>7</v>
      </c>
      <c r="C43" s="44">
        <f>C13/C18</f>
        <v>144927.53623188406</v>
      </c>
    </row>
    <row r="44" spans="1:3" ht="15">
      <c r="A44" s="30" t="s">
        <v>96</v>
      </c>
      <c r="C44" s="31">
        <f>(C43*C42)/C19</f>
        <v>144927.53623188406</v>
      </c>
    </row>
    <row r="46" spans="1:3" ht="15">
      <c r="A46" t="s">
        <v>36</v>
      </c>
      <c r="B46" t="s">
        <v>8</v>
      </c>
      <c r="C46" s="67">
        <v>0.15</v>
      </c>
    </row>
    <row r="47" spans="1:3" ht="15">
      <c r="A47" s="30" t="s">
        <v>97</v>
      </c>
      <c r="B47" s="30"/>
      <c r="C47" s="31">
        <f>ROUND(C46*(C44+C40+C37+C30+C26),0)</f>
        <v>170063</v>
      </c>
    </row>
    <row r="49" spans="1:3" ht="15">
      <c r="A49" t="s">
        <v>98</v>
      </c>
      <c r="C49" s="33">
        <v>35</v>
      </c>
    </row>
    <row r="51" spans="1:3" ht="15">
      <c r="A51" s="30" t="s">
        <v>99</v>
      </c>
      <c r="B51" s="30"/>
      <c r="C51" s="79">
        <f>'Diagrama de flujo gestión'!C28*('Introducción y datos principale'!C11/'Diagrama de flujo gestión'!C7)</f>
        <v>5800000</v>
      </c>
    </row>
    <row r="53" spans="1:3" ht="15">
      <c r="A53" s="75" t="s">
        <v>100</v>
      </c>
      <c r="B53" s="75"/>
      <c r="C53" s="80">
        <f>C51+C47+C44+C40+C37+C34+C30+C26</f>
        <v>7481233.666666667</v>
      </c>
    </row>
    <row r="56" spans="3:7" ht="15">
      <c r="C56" s="24"/>
      <c r="G56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421875" style="0" customWidth="1"/>
    <col min="2" max="2" width="17.57421875" style="0" customWidth="1"/>
    <col min="3" max="3" width="13.421875" style="0" customWidth="1"/>
  </cols>
  <sheetData>
    <row r="1" spans="1:5" s="16" customFormat="1" ht="27" customHeight="1">
      <c r="A1" s="62" t="s">
        <v>168</v>
      </c>
      <c r="B1" s="15"/>
      <c r="C1" s="15"/>
      <c r="D1" s="23"/>
      <c r="E1" s="23"/>
    </row>
    <row r="2" spans="1:5" s="16" customFormat="1" ht="15">
      <c r="A2" s="15" t="s">
        <v>2</v>
      </c>
      <c r="B2" s="15"/>
      <c r="C2" s="15"/>
      <c r="D2" s="23"/>
      <c r="E2" s="23"/>
    </row>
    <row r="4" ht="15">
      <c r="A4" t="s">
        <v>48</v>
      </c>
    </row>
    <row r="6" spans="1:3" ht="15">
      <c r="A6" s="27" t="s">
        <v>43</v>
      </c>
      <c r="B6" s="28" t="s">
        <v>45</v>
      </c>
      <c r="C6" s="29" t="s">
        <v>46</v>
      </c>
    </row>
    <row r="8" spans="1:3" ht="15">
      <c r="A8" t="s">
        <v>44</v>
      </c>
      <c r="B8" t="s">
        <v>47</v>
      </c>
      <c r="C8" s="33">
        <v>52</v>
      </c>
    </row>
    <row r="10" spans="1:3" ht="15">
      <c r="A10" t="s">
        <v>55</v>
      </c>
      <c r="B10" t="s">
        <v>53</v>
      </c>
      <c r="C10" s="33">
        <v>400</v>
      </c>
    </row>
    <row r="11" spans="1:3" ht="15">
      <c r="A11" t="s">
        <v>54</v>
      </c>
      <c r="B11" t="s">
        <v>53</v>
      </c>
      <c r="C11" s="71">
        <v>200</v>
      </c>
    </row>
    <row r="13" spans="1:3" ht="15">
      <c r="A13" t="s">
        <v>52</v>
      </c>
      <c r="B13" s="46">
        <v>0.5</v>
      </c>
      <c r="C13" s="42">
        <f>C8*B13</f>
        <v>26</v>
      </c>
    </row>
    <row r="16" spans="1:3" ht="15">
      <c r="A16" t="s">
        <v>49</v>
      </c>
      <c r="C16" s="39">
        <f>Empleo!C16</f>
        <v>362318840.5797101</v>
      </c>
    </row>
    <row r="17" spans="1:3" ht="15">
      <c r="A17" t="s">
        <v>51</v>
      </c>
      <c r="B17" s="38">
        <v>0.1</v>
      </c>
      <c r="C17" s="44">
        <f>C16*B17</f>
        <v>36231884.057971016</v>
      </c>
    </row>
    <row r="18" spans="1:3" ht="15">
      <c r="A18" t="s">
        <v>50</v>
      </c>
      <c r="C18" s="44">
        <f>C16+C17</f>
        <v>398550724.6376811</v>
      </c>
    </row>
    <row r="20" spans="1:3" ht="15">
      <c r="A20" t="s">
        <v>56</v>
      </c>
      <c r="B20" t="s">
        <v>6</v>
      </c>
      <c r="C20" s="44">
        <f>C18/C10</f>
        <v>996376.8115942028</v>
      </c>
    </row>
    <row r="21" spans="1:3" ht="15">
      <c r="A21" t="s">
        <v>57</v>
      </c>
      <c r="B21" t="s">
        <v>6</v>
      </c>
      <c r="C21" s="47">
        <f>C20*C13</f>
        <v>25905797.101449274</v>
      </c>
    </row>
    <row r="23" spans="1:3" ht="15">
      <c r="A23" t="s">
        <v>58</v>
      </c>
      <c r="B23" t="s">
        <v>6</v>
      </c>
      <c r="C23" s="44">
        <f>C18/C11</f>
        <v>1992753.6231884055</v>
      </c>
    </row>
    <row r="24" spans="1:3" ht="15">
      <c r="A24" t="s">
        <v>59</v>
      </c>
      <c r="B24" t="s">
        <v>6</v>
      </c>
      <c r="C24" s="47">
        <f>(C8-C13)*C23</f>
        <v>51811594.20289855</v>
      </c>
    </row>
    <row r="26" spans="1:3" ht="15">
      <c r="A26" t="s">
        <v>60</v>
      </c>
      <c r="B26" t="s">
        <v>6</v>
      </c>
      <c r="C26" s="39">
        <f>C24+C21</f>
        <v>77717391.30434781</v>
      </c>
    </row>
    <row r="27" spans="1:3" ht="15">
      <c r="A27" t="s">
        <v>61</v>
      </c>
      <c r="B27" s="88">
        <v>0.15</v>
      </c>
      <c r="C27" s="87">
        <f>C26*B27</f>
        <v>11657608.695652172</v>
      </c>
    </row>
    <row r="28" spans="2:3" ht="15">
      <c r="B28" s="81"/>
      <c r="C28" s="87"/>
    </row>
    <row r="29" spans="1:5" ht="15">
      <c r="A29" s="75" t="s">
        <v>62</v>
      </c>
      <c r="B29" s="82" t="s">
        <v>6</v>
      </c>
      <c r="C29" s="83">
        <f>SUM(C26:C27)</f>
        <v>89374999.99999999</v>
      </c>
      <c r="E29" t="s">
        <v>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1" sqref="H1:H2"/>
    </sheetView>
  </sheetViews>
  <sheetFormatPr defaultColWidth="9.140625" defaultRowHeight="15"/>
  <cols>
    <col min="1" max="1" width="19.7109375" style="0" customWidth="1"/>
    <col min="2" max="2" width="66.28125" style="0" customWidth="1"/>
    <col min="3" max="3" width="9.28125" style="0" bestFit="1" customWidth="1"/>
    <col min="4" max="4" width="12.7109375" style="0" customWidth="1"/>
    <col min="5" max="6" width="10.28125" style="0" customWidth="1"/>
    <col min="7" max="7" width="15.140625" style="0" customWidth="1"/>
    <col min="8" max="8" width="11.57421875" style="0" bestFit="1" customWidth="1"/>
  </cols>
  <sheetData>
    <row r="1" spans="1:8" ht="27" customHeight="1">
      <c r="A1" s="48" t="s">
        <v>10</v>
      </c>
      <c r="B1" s="89" t="s">
        <v>170</v>
      </c>
      <c r="C1" s="48"/>
      <c r="D1" s="48"/>
      <c r="E1" s="48"/>
      <c r="F1" s="48"/>
      <c r="G1" s="48"/>
      <c r="H1" s="48"/>
    </row>
    <row r="2" spans="1:8" ht="15">
      <c r="A2" s="15"/>
      <c r="B2" s="15"/>
      <c r="C2" s="15"/>
      <c r="D2" s="15"/>
      <c r="E2" s="15"/>
      <c r="F2" s="15"/>
      <c r="G2" s="15"/>
      <c r="H2" s="48"/>
    </row>
    <row r="4" ht="15">
      <c r="B4" t="s">
        <v>18</v>
      </c>
    </row>
    <row r="5" spans="2:3" ht="15">
      <c r="B5" t="s">
        <v>19</v>
      </c>
      <c r="C5" s="26"/>
    </row>
    <row r="6" ht="15.75" thickBot="1">
      <c r="C6" s="65"/>
    </row>
    <row r="7" spans="2:3" ht="15.75" thickBot="1">
      <c r="B7" t="s">
        <v>176</v>
      </c>
      <c r="C7" s="90">
        <v>10000</v>
      </c>
    </row>
    <row r="9" spans="2:8" ht="15">
      <c r="B9" s="27" t="s">
        <v>43</v>
      </c>
      <c r="C9" s="27" t="s">
        <v>20</v>
      </c>
      <c r="D9" s="27" t="s">
        <v>21</v>
      </c>
      <c r="E9" s="27" t="s">
        <v>22</v>
      </c>
      <c r="F9" s="27"/>
      <c r="G9" s="27" t="s">
        <v>23</v>
      </c>
      <c r="H9" s="27" t="s">
        <v>22</v>
      </c>
    </row>
    <row r="10" spans="2:8" ht="15">
      <c r="B10" t="s">
        <v>24</v>
      </c>
      <c r="C10" s="93">
        <v>1</v>
      </c>
      <c r="D10" s="93">
        <v>52000</v>
      </c>
      <c r="E10" s="92">
        <f>C10*D10</f>
        <v>52000</v>
      </c>
      <c r="F10" s="93">
        <v>1</v>
      </c>
      <c r="G10" s="93">
        <v>16000</v>
      </c>
      <c r="H10" s="92">
        <f>F10*G10</f>
        <v>16000</v>
      </c>
    </row>
    <row r="11" spans="2:8" ht="15">
      <c r="B11" t="s">
        <v>25</v>
      </c>
      <c r="C11" s="93">
        <v>1</v>
      </c>
      <c r="D11" s="93">
        <v>52000</v>
      </c>
      <c r="E11" s="92">
        <f aca="true" t="shared" si="0" ref="E11:E25">C11*D11</f>
        <v>52000</v>
      </c>
      <c r="F11" s="93">
        <v>1</v>
      </c>
      <c r="G11" s="93">
        <v>16000</v>
      </c>
      <c r="H11" s="92">
        <f aca="true" t="shared" si="1" ref="H11:H25">F11*G11</f>
        <v>16000</v>
      </c>
    </row>
    <row r="12" spans="2:8" ht="15">
      <c r="B12" t="s">
        <v>26</v>
      </c>
      <c r="C12" s="93">
        <v>0</v>
      </c>
      <c r="D12" s="93">
        <v>52000</v>
      </c>
      <c r="E12" s="92">
        <f t="shared" si="0"/>
        <v>0</v>
      </c>
      <c r="F12" s="93">
        <v>0</v>
      </c>
      <c r="G12" s="93">
        <v>16000</v>
      </c>
      <c r="H12" s="92">
        <f t="shared" si="1"/>
        <v>0</v>
      </c>
    </row>
    <row r="13" spans="2:8" ht="15">
      <c r="B13" t="s">
        <v>27</v>
      </c>
      <c r="C13" s="93">
        <v>1</v>
      </c>
      <c r="D13" s="93">
        <v>30000</v>
      </c>
      <c r="E13" s="92">
        <f t="shared" si="0"/>
        <v>30000</v>
      </c>
      <c r="F13" s="93">
        <v>1</v>
      </c>
      <c r="G13" s="93">
        <v>16000</v>
      </c>
      <c r="H13" s="92">
        <f t="shared" si="1"/>
        <v>16000</v>
      </c>
    </row>
    <row r="14" spans="2:10" ht="15">
      <c r="B14" t="s">
        <v>28</v>
      </c>
      <c r="C14" s="93">
        <v>1</v>
      </c>
      <c r="D14" s="93">
        <v>26000</v>
      </c>
      <c r="E14" s="92">
        <f t="shared" si="0"/>
        <v>26000</v>
      </c>
      <c r="F14" s="93">
        <v>1</v>
      </c>
      <c r="G14" s="93">
        <v>9000</v>
      </c>
      <c r="H14" s="92">
        <f t="shared" si="1"/>
        <v>9000</v>
      </c>
      <c r="J14" s="16"/>
    </row>
    <row r="15" spans="2:8" ht="15">
      <c r="B15" t="s">
        <v>29</v>
      </c>
      <c r="C15" s="93">
        <v>1</v>
      </c>
      <c r="D15" s="93">
        <v>26000</v>
      </c>
      <c r="E15" s="92">
        <f t="shared" si="0"/>
        <v>26000</v>
      </c>
      <c r="F15" s="93">
        <v>1</v>
      </c>
      <c r="G15" s="93">
        <v>9000</v>
      </c>
      <c r="H15" s="92">
        <f t="shared" si="1"/>
        <v>9000</v>
      </c>
    </row>
    <row r="16" spans="2:8" ht="15">
      <c r="B16" t="s">
        <v>30</v>
      </c>
      <c r="C16" s="93">
        <v>1</v>
      </c>
      <c r="D16" s="93">
        <v>26000</v>
      </c>
      <c r="E16" s="92">
        <f t="shared" si="0"/>
        <v>26000</v>
      </c>
      <c r="F16" s="93">
        <v>0</v>
      </c>
      <c r="G16" s="93">
        <v>9000</v>
      </c>
      <c r="H16" s="92">
        <f t="shared" si="1"/>
        <v>0</v>
      </c>
    </row>
    <row r="17" spans="2:8" ht="15">
      <c r="B17" t="s">
        <v>41</v>
      </c>
      <c r="C17" s="93">
        <v>1</v>
      </c>
      <c r="D17" s="93">
        <v>52000</v>
      </c>
      <c r="E17" s="92">
        <f t="shared" si="0"/>
        <v>52000</v>
      </c>
      <c r="F17" s="93">
        <v>1</v>
      </c>
      <c r="G17" s="93">
        <v>9000</v>
      </c>
      <c r="H17" s="92">
        <f t="shared" si="1"/>
        <v>9000</v>
      </c>
    </row>
    <row r="18" spans="2:8" ht="15">
      <c r="B18" t="s">
        <v>40</v>
      </c>
      <c r="C18" s="93">
        <v>1</v>
      </c>
      <c r="D18" s="93">
        <v>52000</v>
      </c>
      <c r="E18" s="92">
        <f t="shared" si="0"/>
        <v>52000</v>
      </c>
      <c r="F18" s="93">
        <v>1</v>
      </c>
      <c r="G18" s="93">
        <v>9000</v>
      </c>
      <c r="H18" s="92">
        <f t="shared" si="1"/>
        <v>9000</v>
      </c>
    </row>
    <row r="19" spans="2:8" ht="15">
      <c r="B19" t="s">
        <v>31</v>
      </c>
      <c r="C19" s="93">
        <v>1</v>
      </c>
      <c r="D19" s="93">
        <v>26000</v>
      </c>
      <c r="E19" s="92">
        <f t="shared" si="0"/>
        <v>26000</v>
      </c>
      <c r="F19" s="93">
        <v>1</v>
      </c>
      <c r="G19" s="93">
        <v>9000</v>
      </c>
      <c r="H19" s="92">
        <f t="shared" si="1"/>
        <v>9000</v>
      </c>
    </row>
    <row r="20" spans="2:8" ht="15">
      <c r="B20" t="s">
        <v>39</v>
      </c>
      <c r="C20" s="93">
        <v>1</v>
      </c>
      <c r="D20" s="93">
        <v>26000</v>
      </c>
      <c r="E20" s="92">
        <f t="shared" si="0"/>
        <v>26000</v>
      </c>
      <c r="F20" s="93">
        <v>1</v>
      </c>
      <c r="G20" s="93">
        <v>9000</v>
      </c>
      <c r="H20" s="92">
        <f t="shared" si="1"/>
        <v>9000</v>
      </c>
    </row>
    <row r="21" spans="2:8" ht="15">
      <c r="B21" t="s">
        <v>38</v>
      </c>
      <c r="C21" s="93">
        <v>1</v>
      </c>
      <c r="D21" s="93">
        <v>26000</v>
      </c>
      <c r="E21" s="92">
        <f t="shared" si="0"/>
        <v>26000</v>
      </c>
      <c r="F21" s="93">
        <v>1</v>
      </c>
      <c r="G21" s="93">
        <v>9000</v>
      </c>
      <c r="H21" s="92">
        <f t="shared" si="1"/>
        <v>9000</v>
      </c>
    </row>
    <row r="22" spans="2:8" ht="15">
      <c r="B22" t="s">
        <v>32</v>
      </c>
      <c r="C22" s="93">
        <v>1</v>
      </c>
      <c r="D22" s="93">
        <v>26000</v>
      </c>
      <c r="E22" s="92">
        <f t="shared" si="0"/>
        <v>26000</v>
      </c>
      <c r="F22" s="93">
        <v>1</v>
      </c>
      <c r="G22" s="93">
        <v>9000</v>
      </c>
      <c r="H22" s="92">
        <f t="shared" si="1"/>
        <v>9000</v>
      </c>
    </row>
    <row r="23" spans="2:8" ht="15">
      <c r="B23" t="s">
        <v>37</v>
      </c>
      <c r="C23" s="93">
        <v>1</v>
      </c>
      <c r="D23" s="93">
        <v>26000</v>
      </c>
      <c r="E23" s="92">
        <f t="shared" si="0"/>
        <v>26000</v>
      </c>
      <c r="F23" s="93">
        <v>0</v>
      </c>
      <c r="G23" s="93">
        <v>9000</v>
      </c>
      <c r="H23" s="92">
        <f t="shared" si="1"/>
        <v>0</v>
      </c>
    </row>
    <row r="24" spans="2:8" ht="15">
      <c r="B24" t="s">
        <v>33</v>
      </c>
      <c r="C24" s="93">
        <v>0</v>
      </c>
      <c r="D24" s="93">
        <v>52000</v>
      </c>
      <c r="E24" s="92">
        <f t="shared" si="0"/>
        <v>0</v>
      </c>
      <c r="F24" s="93">
        <v>0</v>
      </c>
      <c r="G24" s="93">
        <v>9000</v>
      </c>
      <c r="H24" s="92">
        <f t="shared" si="1"/>
        <v>0</v>
      </c>
    </row>
    <row r="25" spans="2:8" ht="15">
      <c r="B25" t="s">
        <v>35</v>
      </c>
      <c r="C25" s="93">
        <v>3</v>
      </c>
      <c r="D25" s="93">
        <v>14400</v>
      </c>
      <c r="E25" s="92">
        <f t="shared" si="0"/>
        <v>43200</v>
      </c>
      <c r="F25" s="93">
        <v>2</v>
      </c>
      <c r="G25" s="93">
        <v>9000</v>
      </c>
      <c r="H25" s="92">
        <f t="shared" si="1"/>
        <v>18000</v>
      </c>
    </row>
    <row r="26" spans="2:8" ht="15">
      <c r="B26" t="s">
        <v>34</v>
      </c>
      <c r="C26" s="92">
        <f>SUM(C10:C25)</f>
        <v>16</v>
      </c>
      <c r="D26" s="92"/>
      <c r="E26" s="92">
        <f>SUM(E10:E25)</f>
        <v>489200</v>
      </c>
      <c r="F26" s="92">
        <f>SUM(F10:F25)</f>
        <v>13</v>
      </c>
      <c r="G26" s="92"/>
      <c r="H26" s="92">
        <f>SUM(H10:H25)</f>
        <v>138000</v>
      </c>
    </row>
    <row r="27" spans="2:8" ht="15">
      <c r="B27" t="s">
        <v>36</v>
      </c>
      <c r="C27" s="38">
        <v>0.15</v>
      </c>
      <c r="D27" s="25"/>
      <c r="E27" s="24">
        <f>E26*C27</f>
        <v>73380</v>
      </c>
      <c r="F27" s="84">
        <v>0.15</v>
      </c>
      <c r="G27" s="25"/>
      <c r="H27" s="24">
        <f>H26*C27</f>
        <v>20700</v>
      </c>
    </row>
    <row r="28" spans="2:8" ht="15">
      <c r="B28" s="75" t="s">
        <v>42</v>
      </c>
      <c r="C28" s="66">
        <f>C26+F26</f>
        <v>29</v>
      </c>
      <c r="D28" s="82"/>
      <c r="E28" s="85">
        <f>SUM(E26:E27)</f>
        <v>562580</v>
      </c>
      <c r="F28" s="85"/>
      <c r="G28" s="82"/>
      <c r="H28" s="85">
        <f>SUM(H26:H27)</f>
        <v>158700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PieterHoff</dc:creator>
  <cp:keywords/>
  <dc:description/>
  <cp:lastModifiedBy>PieterHoff</cp:lastModifiedBy>
  <dcterms:created xsi:type="dcterms:W3CDTF">2013-03-19T20:29:19Z</dcterms:created>
  <dcterms:modified xsi:type="dcterms:W3CDTF">2014-12-20T16:52:57Z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