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610" windowHeight="9690" tabRatio="1000" activeTab="0"/>
  </bookViews>
  <sheets>
    <sheet name="Voorpagina" sheetId="1" r:id="rId1"/>
    <sheet name="Inleiding en kerngegevens" sheetId="2" r:id="rId2"/>
    <sheet name="Kosten van het planten" sheetId="3" r:id="rId3"/>
    <sheet name="Werkgelegenheid" sheetId="4" r:id="rId4"/>
    <sheet name="Kwekerij" sheetId="5" r:id="rId5"/>
    <sheet name="Management werkdiagram" sheetId="6" r:id="rId6"/>
  </sheets>
  <definedNames>
    <definedName name="_xlnm.Print_Area" localSheetId="2">'Kosten van het planten'!$A$1:$E$57</definedName>
    <definedName name="_xlnm.Print_Area" localSheetId="0">'Voorpagina'!$A$1:$A$29</definedName>
    <definedName name="_xlnm.Print_Area" localSheetId="3">'Werkgelegenheid'!$A$1:$E$50</definedName>
  </definedNames>
  <calcPr fullCalcOnLoad="1"/>
</workbook>
</file>

<file path=xl/comments2.xml><?xml version="1.0" encoding="utf-8"?>
<comments xmlns="http://schemas.openxmlformats.org/spreadsheetml/2006/main">
  <authors>
    <author>PieterHoff</author>
  </authors>
  <commentList>
    <comment ref="B21" authorId="0">
      <text>
        <r>
          <rPr>
            <b/>
            <sz val="9"/>
            <rFont val="Tahoma"/>
            <family val="2"/>
          </rPr>
          <t xml:space="preserve">Scientific sources: THE UNIVERSITY OF STUTTGART CLAIMS THAT JATROPHA DISCONNECTS 25 TONNES OF CO2 PER HECTARE
https://www.uni-hohenheim.de/news/studie-carbon-farming-
biomasse-plantagen-in-wuestenregionen-koennten-klimawandel-
mildern-8
THE UNIVERSITY OF BOULDER COLORADO CLAIMS THAT TREES DISCONNECT NOW 100% MORE CARBON THAN 50 YEARS AGO THIS IS LOGIC, SHELL IS SELLING CO2 TO GROWERS IN HOLLAND AS A FERTILIZER
http://www.colorado.edu/news/releases/2012/08/01/earth-still-
absorbing-co2-even-emissions-rise-says-new-cu-led-study
</t>
        </r>
        <r>
          <rPr>
            <sz val="9"/>
            <rFont val="Tahoma"/>
            <family val="2"/>
          </rPr>
          <t xml:space="preserve">
</t>
        </r>
      </text>
    </comment>
  </commentList>
</comments>
</file>

<file path=xl/comments3.xml><?xml version="1.0" encoding="utf-8"?>
<comments xmlns="http://schemas.openxmlformats.org/spreadsheetml/2006/main">
  <authors>
    <author/>
  </authors>
  <commentList>
    <comment ref="A30" authorId="0">
      <text>
        <r>
          <rPr>
            <b/>
            <sz val="9"/>
            <color indexed="8"/>
            <rFont val="Tahoma"/>
            <family val="2"/>
          </rPr>
          <t xml:space="preserve">This is based on a tractor of 60K plus machine of 40K making 1 hole a time, plus energy, using it 6 years. If it is a 3-drill, price will drop to 6 cents excl. wages
</t>
        </r>
        <r>
          <rPr>
            <sz val="9"/>
            <color indexed="8"/>
            <rFont val="Tahoma"/>
            <family val="2"/>
          </rPr>
          <t xml:space="preserve">
</t>
        </r>
      </text>
    </comment>
    <comment ref="A31" authorId="0">
      <text>
        <r>
          <rPr>
            <b/>
            <sz val="9"/>
            <color indexed="8"/>
            <rFont val="Tahoma"/>
            <family val="2"/>
          </rPr>
          <t xml:space="preserve">This is based on a tractor with one drill, with 3 drills the price would drop to 10 cents
</t>
        </r>
      </text>
    </comment>
  </commentList>
</comments>
</file>

<file path=xl/sharedStrings.xml><?xml version="1.0" encoding="utf-8"?>
<sst xmlns="http://schemas.openxmlformats.org/spreadsheetml/2006/main" count="232" uniqueCount="170">
  <si>
    <t>Groasis Technologie</t>
  </si>
  <si>
    <t>met de</t>
  </si>
  <si>
    <t>In dit document wordt uitgegaan van algemene veronderstellingen.</t>
  </si>
  <si>
    <t>Pas de gegevens in het document aan, zodat de cijfers in overeenstemming zijn met uw specifieke project.</t>
  </si>
  <si>
    <t>Pieter Hoff</t>
  </si>
  <si>
    <t>phoff@groasis.com</t>
  </si>
  <si>
    <t>© Wout Hoff - this model is the intellectual property of Groasis - Holland</t>
  </si>
  <si>
    <r>
      <t xml:space="preserve">                                            </t>
    </r>
    <r>
      <rPr>
        <b/>
        <i/>
        <sz val="11"/>
        <color indexed="8"/>
        <rFont val="Calibri"/>
        <family val="2"/>
      </rPr>
      <t>maak ongebruikte grond weer productief</t>
    </r>
  </si>
  <si>
    <t xml:space="preserve">                                      </t>
  </si>
  <si>
    <t>Inleiding bij het project:</t>
  </si>
  <si>
    <t>Kerngegevens van het project:</t>
  </si>
  <si>
    <t>VUL DE OMVANG VAN HET PROJECT IN</t>
  </si>
  <si>
    <t>ha</t>
  </si>
  <si>
    <t>Opmerking: verander het aantal hectares naar de werkelijke situatie, de calculatie zal daarna automatisch aangepast worden</t>
  </si>
  <si>
    <t>VUL DE DUUR VAN HET PROJECT IN</t>
  </si>
  <si>
    <t>jaar</t>
  </si>
  <si>
    <t>Opmerking: verander de projectduur naar de werkelijke situatie, de calculatie zal daarna automatisch aangepast worden</t>
  </si>
  <si>
    <t>VUL HET BRUTO UURLOON VAN EEN PLANTER IN</t>
  </si>
  <si>
    <t>US$</t>
  </si>
  <si>
    <t>Opmerking: verander het uurloon naar de werkelijke situatie, de calculatie zal daarna automatisch aangepast worden</t>
  </si>
  <si>
    <t>VUL HET AANTAL WEKEN IN DAT U PLANT PER JAAR</t>
  </si>
  <si>
    <t>Opmerking: verminder het aantal van 52 weken met het aantal weken waarin niet geplant wordt (i.v.m. vakanties, religieuze periodes e.d.), en vul het resterende aantal weken in</t>
  </si>
  <si>
    <t>Snelheid van het plantproject in ha per week</t>
  </si>
  <si>
    <t>ha/week</t>
  </si>
  <si>
    <t>Jaarlijkse investering</t>
  </si>
  <si>
    <t>mUS$</t>
  </si>
  <si>
    <t>Investering  per ha</t>
  </si>
  <si>
    <t>Totaal gegenereerde werkgelegenheid per jaar</t>
  </si>
  <si>
    <t>Oppervlakte van de kwekerij</t>
  </si>
  <si>
    <t>m2</t>
  </si>
  <si>
    <t>Aantal levende bomen na voltooiing van het project</t>
  </si>
  <si>
    <t>Benodigde investering voor het plantproject</t>
  </si>
  <si>
    <t>Opmerking:</t>
  </si>
  <si>
    <t>INPUT</t>
  </si>
  <si>
    <t>Units</t>
  </si>
  <si>
    <t>Single value</t>
  </si>
  <si>
    <t>Omvang van het project</t>
  </si>
  <si>
    <t>Duur van het project</t>
  </si>
  <si>
    <t>Schoonmaakkosten per ha (onkruid/ongewenste soorten)</t>
  </si>
  <si>
    <t>Totale schoonmaakkosten per ha</t>
  </si>
  <si>
    <t>Selecteer de juiste waarde uit de dropdown-lijst</t>
  </si>
  <si>
    <t>Aantal geplante bomen per ha</t>
  </si>
  <si>
    <t>Selecteer de juiste waarde uit de dropdown-lijst. Indien u 2 variëteiten plant, wordt uitgegaan van een verdeling van 50%-50%</t>
  </si>
  <si>
    <t>Prijs van variëteit 1</t>
  </si>
  <si>
    <t>Dit bedrag is inclusief de kosten van de kwekerij, indien de planten plaatselijk gekweekt worden</t>
  </si>
  <si>
    <t>Prijs van variëteit 2</t>
  </si>
  <si>
    <t>Kosten van bomen per ha</t>
  </si>
  <si>
    <t>Verwacht overlevingspercentage</t>
  </si>
  <si>
    <t>%</t>
  </si>
  <si>
    <t>Aantal overlevende bomen per ha</t>
  </si>
  <si>
    <t>Aantal m2 per overlevende boom</t>
  </si>
  <si>
    <t>Belangrijk: vul hier de prijs van uw offerte in. De standaard ingevulde prijs is niet de marktprijs, aangezien de prijs afhankelijk is van</t>
  </si>
  <si>
    <t>Aantal plantgaten geboord per ha</t>
  </si>
  <si>
    <t>Boorkosten per plantgat – machines</t>
  </si>
  <si>
    <t>Boorkosten per plantgat – loonkosten</t>
  </si>
  <si>
    <t>Kosten van het boren van plantgaten per ha</t>
  </si>
  <si>
    <t>Huisvesting, voedsel, vervoer, medische zorg voor personeel enz., per box geschat op</t>
  </si>
  <si>
    <t>Kosten van het planten per ha</t>
  </si>
  <si>
    <t>liter</t>
  </si>
  <si>
    <t>Kosten van water per liter</t>
  </si>
  <si>
    <t>Kosten van water incl. logistiek per ha</t>
  </si>
  <si>
    <t>Water geven</t>
  </si>
  <si>
    <t>Kosten van management en organisatie per ha</t>
  </si>
  <si>
    <t>Onvoorzien</t>
  </si>
  <si>
    <t>Onvoorziene kosten per ha geschat op</t>
  </si>
  <si>
    <t>US$/ha</t>
  </si>
  <si>
    <t>Totale plantkosten geschat op</t>
  </si>
  <si>
    <t>US$/boom</t>
  </si>
  <si>
    <t>Aantal ha dat per jaar beplant wordt</t>
  </si>
  <si>
    <t>Aantal weken per jaar waarin geplant wordt</t>
  </si>
  <si>
    <t>weken</t>
  </si>
  <si>
    <t>Aantal ha dat per week beplant wordt</t>
  </si>
  <si>
    <t>Aantal bomen per week</t>
  </si>
  <si>
    <t>Aantal werkdagen per week</t>
  </si>
  <si>
    <t>dagen</t>
  </si>
  <si>
    <t>Duur van de dienst van een planter</t>
  </si>
  <si>
    <t>uren</t>
  </si>
  <si>
    <t>Aantal uren dat per dag geboord wordt</t>
  </si>
  <si>
    <t>Aantal gaten dat per uur geboord wordt</t>
  </si>
  <si>
    <t>Aantal gaten dat per dag geboord wordt</t>
  </si>
  <si>
    <t>Benodigd aantal boren</t>
  </si>
  <si>
    <t>Benodigs aantal mensen dat de boren bedient</t>
  </si>
  <si>
    <t>Benodigd aantal planters</t>
  </si>
  <si>
    <t>Intern vervoer tijdens het planten</t>
  </si>
  <si>
    <t>Verstrekking van water tijdens het planten</t>
  </si>
  <si>
    <t>Schoonmaakkosten (onkruid/ongewenste soorten) in uren per ha</t>
  </si>
  <si>
    <t>Aantal ha dat per dag schoongemaakt wordt</t>
  </si>
  <si>
    <t>Benodigd aantal schoonmakers</t>
  </si>
  <si>
    <t>Arbeid onvoorzien, geschat op</t>
  </si>
  <si>
    <t>Huisvestingskosten per werknemer per dag</t>
  </si>
  <si>
    <t>Management</t>
  </si>
  <si>
    <t>Totaal benodigde arbeiders voor plantproject, incl. management</t>
  </si>
  <si>
    <t>Plantendichtheid in kwekerij, eerste periode, trays van polystyreen</t>
  </si>
  <si>
    <t>planten/bruto m2</t>
  </si>
  <si>
    <t>Plantendichtheid in kwekerij, resterende weken, trays van polystyreen</t>
  </si>
  <si>
    <t>Tijd in weken in de kwekerij, bij 800 plants per m2</t>
  </si>
  <si>
    <t>Netto aantal planten dat per week nodig is</t>
  </si>
  <si>
    <t>Verlies aan planten tijdens productie in kwekerij</t>
  </si>
  <si>
    <t>Bruto aantal planten dat per week nodig is</t>
  </si>
  <si>
    <t>Bruto oppervlakte nodig voor productie voor de eerste week</t>
  </si>
  <si>
    <t>Totaal bruto oppervlakte nodig voor eerste productieperiode</t>
  </si>
  <si>
    <t>Bruto oppervlakte nodig per week voor de resterende weken</t>
  </si>
  <si>
    <t>Totaal bruto oppervlakte nodig voor de laatste productieperiode</t>
  </si>
  <si>
    <t>Totaal benodigde oppervlakte van de kwekerij (netto)</t>
  </si>
  <si>
    <t>Totaal benodigde oppervlakte van de kwekerij (bruto)</t>
  </si>
  <si>
    <t>Opmerking: er wordt van uitgegaan dat bij de kostprijs van jonge bomen inbegrepen is de productiekosten van kwekerij en materiaal (zie tab 'Kosten van het planten').</t>
  </si>
  <si>
    <t xml:space="preserve">                                             make wasteland productive again</t>
  </si>
  <si>
    <t>A.u.b. alleen de waardes in de lichtgele cellen veranderen:</t>
  </si>
  <si>
    <t>Input</t>
  </si>
  <si>
    <t>Aantal</t>
  </si>
  <si>
    <t>Jaarsalaris in $</t>
  </si>
  <si>
    <t>Totaal</t>
  </si>
  <si>
    <t>Kantoorkosten in $</t>
  </si>
  <si>
    <t>General manager</t>
  </si>
  <si>
    <t>Financial manager</t>
  </si>
  <si>
    <t>Marketing en verkoop</t>
  </si>
  <si>
    <t>Human resources</t>
  </si>
  <si>
    <t>Assistant general manager</t>
  </si>
  <si>
    <t>Quality control</t>
  </si>
  <si>
    <t>Communicatie</t>
  </si>
  <si>
    <t>Kwekerij</t>
  </si>
  <si>
    <t>Bosbouw</t>
  </si>
  <si>
    <t>Logistiek</t>
  </si>
  <si>
    <t>Apparatuur</t>
  </si>
  <si>
    <t>Voeding &amp; gezondheid</t>
  </si>
  <si>
    <t>Beveiliging</t>
  </si>
  <si>
    <t>Arts</t>
  </si>
  <si>
    <t>Juridisch</t>
  </si>
  <si>
    <t>Ondersteunend personeel</t>
  </si>
  <si>
    <t>Subtotaal</t>
  </si>
  <si>
    <t>Totale managementkosten</t>
  </si>
  <si>
    <t>het gekochte aantal boxen, invoerrechten, BTW, vervoer en andere kosten. Deze kosten kunnen per land variëren.</t>
  </si>
  <si>
    <t>Veiligheidskosten / beveiliging van het gebied</t>
  </si>
  <si>
    <t>Totale veiligheid en beveiligingskosten</t>
  </si>
  <si>
    <t>Benodigde hoeveelheid water per box</t>
  </si>
  <si>
    <t>Bescherming van de bomen tegen dieren met Growsafe Telescoprotexx</t>
  </si>
  <si>
    <t>Kosten van bescherming tegen dieren per hectare</t>
  </si>
  <si>
    <t>Standaard worden de management kosten genomen per 10.000 ha</t>
  </si>
  <si>
    <t>Totale CO₂ reductie  in tonnen per jaar</t>
  </si>
  <si>
    <t>Totale CO₂ reductie in tonnen in 50 jaar na planten</t>
  </si>
  <si>
    <t>Prijs per ton CO₂ reductie gedurende de hele periode</t>
  </si>
  <si>
    <t>staf/jaar</t>
  </si>
  <si>
    <t>Percentage ongebruikt gebied in kwekerij (looppaden)</t>
  </si>
  <si>
    <t>Opmerking: als het project korter duurt dan 1 jaar, dan moet je dit resultaat delen door 52 en vermenigvuldigen met het aantal weken dat het project duurt</t>
  </si>
  <si>
    <t>voor de Boomoplossing</t>
  </si>
  <si>
    <t>maak ongebruikte grond weer productief</t>
  </si>
  <si>
    <t>A.u.b. alleen de waardes in de lichtgele cellen aanpassen:</t>
  </si>
  <si>
    <t>Deze pagina geeft de management- en kantoorkosten weer</t>
  </si>
  <si>
    <t>Op deze pagina wordt beschreven hoe het project georganiseerd moet worden. Daarnaast geeft de pagina een overzicht van de gegenereerde werkgelegenheid.</t>
  </si>
  <si>
    <t>Op deze pagina vindt u een berekening van de grootte van de kwekerij die nodig is om de jonge bomen en struiken te kunnen telen voor uw project.</t>
  </si>
  <si>
    <t>Biologisch afbreekbare Groasis Growboxx voor eenmalig gebruik</t>
  </si>
  <si>
    <t>Opmerking: Dit vereenvoudigde model geeft een globaal inzicht in de geschatte kosten die verbonden zijn aan het uitvoeren van een boomplantproject met Groasis Growboxxes in woestijnen, of in geërodeerde of rotsachtige gebieden. Het model geeft nadrukkelijk geen volledig beeld van alle implicaties van het opzetten van een dergelijk project.</t>
  </si>
  <si>
    <t>De Groasis Growboxx is een innovatief, biologisch afbreekbaar apparaat voor eenmalig gebruik, gemaakt van cellulose, die het mogelijk maakt om planten, struiken en bomen te planten zonder irrigatie te gebruiken.</t>
  </si>
  <si>
    <t>VUL HET AANTAL GrowboxxES PER HECTARE IN</t>
  </si>
  <si>
    <t>Opmerking: u kunt per box twee bomen planten; als u 600 bomen per hectare wilt planten, heeft u dus slechts 300 Growboxxes nodig</t>
  </si>
  <si>
    <t>Deze pagina beschrijft het proces van het beplanten van het gebied met Groasis Growboxxes.</t>
  </si>
  <si>
    <t>Aantal Groasis Growboxxes / plantgaten per ha</t>
  </si>
  <si>
    <t>Aantal bomen per Groasis Growboxx</t>
  </si>
  <si>
    <t>Aantal variëteiten dat per Groasis Growboxx geplant wordt</t>
  </si>
  <si>
    <t>Totale kosten per Groasis Growboxx</t>
  </si>
  <si>
    <t>Kosten van Groasis Growboxxes per ha</t>
  </si>
  <si>
    <t>Plantkosten per Groasis Growboxx – loonkosten</t>
  </si>
  <si>
    <t>Opmerking: onder droge omstandigheden moet je een dag voor het planten de plantgaten met 20 tot 40 liter water vullen. Na het planten vul je de midden opening van de Groasis Growboxx met 4 liter en de Groasis Growboxx zelf met 16 liter</t>
  </si>
  <si>
    <t>Aantal Groasis Growboxxes per week</t>
  </si>
  <si>
    <t>Aantal Groasis Growboxxes per werkdag</t>
  </si>
  <si>
    <t>Aantal in elkaar gezette en geplante Groasis Growboxxes per man per uur</t>
  </si>
  <si>
    <t>Aantal geplante Groasis Growboxxes per shift</t>
  </si>
  <si>
    <t>Intern vervoer van Groasis Growboxxes en boompjes per manuur</t>
  </si>
  <si>
    <t>Aantal plantgaten en Groasis Growboxxes watervullen per manuur</t>
  </si>
  <si>
    <t>Minimum leeftijd van de plant voor het planten in Groasis Growboxxes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</si>
</sst>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mmm/yyyy"/>
    <numFmt numFmtId="165" formatCode="_-* #,##0.00_-;\-* #,##0.00_-;_-* \-??_-;_-@_-"/>
    <numFmt numFmtId="166" formatCode="_-* #,##0_-;\-* #,##0_-;_-* \-??_-;_-@_-"/>
    <numFmt numFmtId="167" formatCode="_-* #,##0.0_-;\-* #,##0.0_-;_-* \-??_-;_-@_-"/>
    <numFmt numFmtId="168" formatCode="&quot;Ja&quot;;&quot;Ja&quot;;&quot;Nee&quot;"/>
    <numFmt numFmtId="169" formatCode="&quot;Waar&quot;;&quot;Waar&quot;;&quot;Niet waar&quot;"/>
    <numFmt numFmtId="170" formatCode="&quot;Aan&quot;;&quot;Aan&quot;;&quot;Uit&quot;"/>
    <numFmt numFmtId="171" formatCode="[$€-2]\ #.##000_);[Red]\([$€-2]\ #.##000\)"/>
    <numFmt numFmtId="172" formatCode="#,##0_ ;\-#,##0\ "/>
    <numFmt numFmtId="173" formatCode="_-* #,##0.00000000_-;\-* #,##0.00000000_-;_-* \-??_-;_-@_-"/>
    <numFmt numFmtId="174" formatCode="_ * #,##0.0_ ;_ * \-#,##0.0_ ;_ * &quot;-&quot;??_ ;_ @_ "/>
    <numFmt numFmtId="175" formatCode="_ * #,##0_ ;_ * \-#,##0_ ;_ * &quot;-&quot;??_ ;_ @_ "/>
    <numFmt numFmtId="176" formatCode="#,##0.0_ ;\-#,##0.0\ "/>
    <numFmt numFmtId="177" formatCode="_-* #,##0.0000000_-;\-* #,##0.0000000_-;_-* \-??_-;_-@_-"/>
    <numFmt numFmtId="178" formatCode="_-* #,##0.000000_-;\-* #,##0.000000_-;_-* \-??_-;_-@_-"/>
    <numFmt numFmtId="179" formatCode="_-* #,##0.00000_-;\-* #,##0.00000_-;_-* \-??_-;_-@_-"/>
    <numFmt numFmtId="180" formatCode="_-* #,##0.0000_-;\-* #,##0.0000_-;_-* \-??_-;_-@_-"/>
    <numFmt numFmtId="181" formatCode="_-* #,##0.000_-;\-* #,##0.000_-;_-* \-??_-;_-@_-"/>
  </numFmts>
  <fonts count="59">
    <font>
      <sz val="11"/>
      <color indexed="8"/>
      <name val="Calibri"/>
      <family val="2"/>
    </font>
    <font>
      <sz val="10"/>
      <name val="Arial"/>
      <family val="0"/>
    </font>
    <font>
      <sz val="10"/>
      <name val="Calibri"/>
      <family val="2"/>
    </font>
    <font>
      <i/>
      <sz val="18"/>
      <name val="Calibri"/>
      <family val="2"/>
    </font>
    <font>
      <b/>
      <i/>
      <sz val="24"/>
      <color indexed="9"/>
      <name val="Calibri"/>
      <family val="2"/>
    </font>
    <font>
      <sz val="24"/>
      <name val="Calibri"/>
      <family val="2"/>
    </font>
    <font>
      <b/>
      <i/>
      <sz val="20"/>
      <color indexed="9"/>
      <name val="Calibri"/>
      <family val="2"/>
    </font>
    <font>
      <sz val="12"/>
      <name val="Calibri"/>
      <family val="2"/>
    </font>
    <font>
      <b/>
      <sz val="12"/>
      <color indexed="9"/>
      <name val="Calibri"/>
      <family val="2"/>
    </font>
    <font>
      <sz val="9"/>
      <name val="Arial"/>
      <family val="2"/>
    </font>
    <font>
      <sz val="12"/>
      <color indexed="9"/>
      <name val="Calibri"/>
      <family val="2"/>
    </font>
    <font>
      <u val="single"/>
      <sz val="10"/>
      <color indexed="12"/>
      <name val="Arial"/>
      <family val="2"/>
    </font>
    <font>
      <sz val="10"/>
      <color indexed="9"/>
      <name val="Calibri"/>
      <family val="2"/>
    </font>
    <font>
      <b/>
      <i/>
      <sz val="11"/>
      <color indexed="8"/>
      <name val="Calibri"/>
      <family val="2"/>
    </font>
    <font>
      <b/>
      <u val="single"/>
      <sz val="11"/>
      <color indexed="8"/>
      <name val="Calibri"/>
      <family val="2"/>
    </font>
    <font>
      <i/>
      <sz val="11"/>
      <color indexed="8"/>
      <name val="Calibri"/>
      <family val="2"/>
    </font>
    <font>
      <u val="single"/>
      <sz val="11"/>
      <color indexed="8"/>
      <name val="Calibri"/>
      <family val="2"/>
    </font>
    <font>
      <sz val="11"/>
      <color indexed="26"/>
      <name val="Calibri"/>
      <family val="2"/>
    </font>
    <font>
      <sz val="11"/>
      <name val="Calibri"/>
      <family val="2"/>
    </font>
    <font>
      <b/>
      <sz val="9"/>
      <color indexed="8"/>
      <name val="Tahoma"/>
      <family val="2"/>
    </font>
    <font>
      <sz val="9"/>
      <color indexed="8"/>
      <name val="Tahoma"/>
      <family val="2"/>
    </font>
    <font>
      <b/>
      <sz val="11"/>
      <color indexed="8"/>
      <name val="Calibri"/>
      <family val="2"/>
    </font>
    <font>
      <i/>
      <sz val="11"/>
      <name val="Calibri"/>
      <family val="2"/>
    </font>
    <font>
      <u val="single"/>
      <sz val="11"/>
      <name val="Calibri"/>
      <family val="2"/>
    </font>
    <font>
      <sz val="9"/>
      <name val="Tahoma"/>
      <family val="2"/>
    </font>
    <font>
      <b/>
      <sz val="9"/>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13"/>
        <bgColor indexed="64"/>
      </patternFill>
    </fill>
    <fill>
      <patternFill patternType="solid">
        <fgColor indexed="17"/>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C000"/>
        <bgColor indexed="64"/>
      </patternFill>
    </fill>
    <fill>
      <patternFill patternType="solid">
        <fgColor rgb="FFFFFF99"/>
        <bgColor indexed="64"/>
      </patternFill>
    </fill>
    <fill>
      <patternFill patternType="solid">
        <fgColor rgb="FF99CC00"/>
        <bgColor indexed="64"/>
      </patternFill>
    </fill>
    <fill>
      <patternFill patternType="solid">
        <fgColor indexed="5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medium"/>
      <right style="medium">
        <color indexed="8"/>
      </right>
      <top style="medium"/>
      <bottom style="medium">
        <color indexed="8"/>
      </bottom>
    </border>
    <border>
      <left>
        <color indexed="63"/>
      </left>
      <right>
        <color indexed="63"/>
      </right>
      <top style="medium"/>
      <bottom>
        <color indexed="63"/>
      </bottom>
    </border>
    <border>
      <left style="medium">
        <color indexed="8"/>
      </left>
      <right style="medium"/>
      <top style="medium"/>
      <bottom style="medium">
        <color indexed="8"/>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color indexed="8"/>
      </right>
      <top style="medium">
        <color indexed="8"/>
      </top>
      <bottom style="mediu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0" borderId="3" applyNumberFormat="0" applyFill="0" applyAlignment="0" applyProtection="0"/>
    <xf numFmtId="0" fontId="46" fillId="28" borderId="0" applyNumberFormat="0" applyBorder="0" applyAlignment="0" applyProtection="0"/>
    <xf numFmtId="0" fontId="11" fillId="0" borderId="0" applyNumberFormat="0" applyFill="0" applyBorder="0" applyAlignment="0" applyProtection="0"/>
    <xf numFmtId="0" fontId="47" fillId="29" borderId="1" applyNumberFormat="0" applyAlignment="0" applyProtection="0"/>
    <xf numFmtId="165" fontId="0" fillId="0" borderId="0" applyFill="0" applyBorder="0" applyAlignment="0" applyProtection="0"/>
    <xf numFmtId="41" fontId="1" fillId="0" borderId="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1" fillId="0" borderId="0">
      <alignment/>
      <protection/>
    </xf>
    <xf numFmtId="0" fontId="0" fillId="31" borderId="7" applyNumberFormat="0" applyFont="0" applyAlignment="0" applyProtection="0"/>
    <xf numFmtId="0" fontId="52" fillId="32" borderId="0" applyNumberFormat="0" applyBorder="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6" borderId="9" applyNumberFormat="0" applyAlignment="0" applyProtection="0"/>
    <xf numFmtId="44" fontId="1" fillId="0" borderId="0" applyFill="0" applyBorder="0" applyAlignment="0" applyProtection="0"/>
    <xf numFmtId="42" fontId="1"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111">
    <xf numFmtId="0" fontId="0" fillId="0" borderId="0" xfId="0" applyAlignment="1">
      <alignment/>
    </xf>
    <xf numFmtId="0" fontId="1" fillId="33" borderId="0" xfId="52" applyFill="1">
      <alignment/>
      <protection/>
    </xf>
    <xf numFmtId="0" fontId="2" fillId="33" borderId="0" xfId="52" applyFont="1" applyFill="1" applyAlignment="1">
      <alignment horizontal="center"/>
      <protection/>
    </xf>
    <xf numFmtId="0" fontId="3" fillId="33" borderId="0" xfId="52" applyFont="1" applyFill="1" applyAlignment="1">
      <alignment horizontal="center"/>
      <protection/>
    </xf>
    <xf numFmtId="0" fontId="4" fillId="33" borderId="0" xfId="52" applyFont="1" applyFill="1" applyAlignment="1">
      <alignment horizontal="center" wrapText="1"/>
      <protection/>
    </xf>
    <xf numFmtId="0" fontId="5" fillId="33" borderId="0" xfId="52" applyFont="1" applyFill="1" applyAlignment="1">
      <alignment horizontal="center"/>
      <protection/>
    </xf>
    <xf numFmtId="164" fontId="6" fillId="33" borderId="0" xfId="52" applyNumberFormat="1" applyFont="1" applyFill="1" applyAlignment="1">
      <alignment horizontal="center"/>
      <protection/>
    </xf>
    <xf numFmtId="164" fontId="4" fillId="33" borderId="0" xfId="52" applyNumberFormat="1" applyFont="1" applyFill="1" applyAlignment="1">
      <alignment horizontal="center"/>
      <protection/>
    </xf>
    <xf numFmtId="0" fontId="7" fillId="34" borderId="0" xfId="52" applyFont="1" applyFill="1" applyAlignment="1">
      <alignment horizontal="center" wrapText="1"/>
      <protection/>
    </xf>
    <xf numFmtId="0" fontId="8" fillId="33" borderId="0" xfId="52" applyFont="1" applyFill="1" applyAlignment="1">
      <alignment horizontal="center"/>
      <protection/>
    </xf>
    <xf numFmtId="0" fontId="9" fillId="34" borderId="10" xfId="52" applyFont="1" applyFill="1" applyBorder="1" applyAlignment="1">
      <alignment horizontal="center"/>
      <protection/>
    </xf>
    <xf numFmtId="0" fontId="9" fillId="34" borderId="11" xfId="52" applyFont="1" applyFill="1" applyBorder="1" applyAlignment="1">
      <alignment horizontal="center"/>
      <protection/>
    </xf>
    <xf numFmtId="0" fontId="7" fillId="33" borderId="0" xfId="52" applyFont="1" applyFill="1" applyAlignment="1">
      <alignment horizontal="center"/>
      <protection/>
    </xf>
    <xf numFmtId="0" fontId="10" fillId="33" borderId="0" xfId="52" applyFont="1" applyFill="1" applyAlignment="1">
      <alignment horizontal="center"/>
      <protection/>
    </xf>
    <xf numFmtId="0" fontId="11" fillId="33" borderId="0" xfId="43" applyNumberFormat="1" applyFont="1" applyFill="1" applyBorder="1" applyAlignment="1" applyProtection="1">
      <alignment horizontal="center"/>
      <protection/>
    </xf>
    <xf numFmtId="0" fontId="12" fillId="33" borderId="0" xfId="52" applyFont="1" applyFill="1" applyAlignment="1">
      <alignment horizontal="center"/>
      <protection/>
    </xf>
    <xf numFmtId="0" fontId="0" fillId="35" borderId="0" xfId="0" applyFont="1" applyFill="1" applyBorder="1" applyAlignment="1">
      <alignment/>
    </xf>
    <xf numFmtId="0" fontId="0" fillId="0" borderId="0" xfId="0" applyBorder="1" applyAlignment="1">
      <alignment/>
    </xf>
    <xf numFmtId="0" fontId="14" fillId="0" borderId="0" xfId="0" applyFont="1" applyBorder="1" applyAlignment="1">
      <alignment/>
    </xf>
    <xf numFmtId="0" fontId="15" fillId="0" borderId="0" xfId="0" applyFont="1" applyAlignment="1">
      <alignment/>
    </xf>
    <xf numFmtId="0" fontId="0" fillId="0" borderId="0" xfId="0" applyFill="1" applyBorder="1" applyAlignment="1">
      <alignment/>
    </xf>
    <xf numFmtId="166" fontId="0" fillId="0" borderId="0" xfId="45" applyNumberFormat="1" applyFont="1" applyFill="1" applyBorder="1" applyAlignment="1" applyProtection="1">
      <alignment/>
      <protection/>
    </xf>
    <xf numFmtId="0" fontId="0" fillId="0" borderId="0" xfId="0" applyFill="1" applyAlignment="1">
      <alignment/>
    </xf>
    <xf numFmtId="0" fontId="0" fillId="36" borderId="12" xfId="0" applyFill="1" applyBorder="1" applyAlignment="1">
      <alignment/>
    </xf>
    <xf numFmtId="0" fontId="12" fillId="35" borderId="0" xfId="0" applyFont="1" applyFill="1" applyAlignment="1">
      <alignment/>
    </xf>
    <xf numFmtId="0" fontId="12" fillId="35" borderId="0" xfId="0" applyFont="1" applyFill="1" applyAlignment="1">
      <alignment horizontal="center"/>
    </xf>
    <xf numFmtId="0" fontId="12" fillId="35" borderId="0" xfId="0" applyFont="1" applyFill="1" applyBorder="1" applyAlignment="1">
      <alignment horizontal="center"/>
    </xf>
    <xf numFmtId="166" fontId="0" fillId="36" borderId="0" xfId="45" applyNumberFormat="1" applyFont="1" applyFill="1" applyBorder="1" applyAlignment="1" applyProtection="1">
      <alignment/>
      <protection/>
    </xf>
    <xf numFmtId="0" fontId="16" fillId="0" borderId="0" xfId="0" applyFont="1" applyAlignment="1">
      <alignment/>
    </xf>
    <xf numFmtId="1" fontId="16" fillId="0" borderId="0" xfId="0" applyNumberFormat="1" applyFont="1" applyAlignment="1">
      <alignment/>
    </xf>
    <xf numFmtId="0" fontId="0" fillId="36" borderId="0" xfId="0" applyFill="1" applyAlignment="1">
      <alignment/>
    </xf>
    <xf numFmtId="0" fontId="17" fillId="0" borderId="0" xfId="0" applyFont="1" applyAlignment="1">
      <alignment/>
    </xf>
    <xf numFmtId="0" fontId="0" fillId="0" borderId="0" xfId="0" applyFont="1" applyAlignment="1">
      <alignment/>
    </xf>
    <xf numFmtId="2" fontId="0" fillId="36" borderId="0" xfId="0" applyNumberFormat="1" applyFill="1" applyAlignment="1">
      <alignment/>
    </xf>
    <xf numFmtId="0" fontId="16" fillId="0" borderId="0" xfId="0" applyNumberFormat="1" applyFont="1" applyAlignment="1">
      <alignment/>
    </xf>
    <xf numFmtId="9" fontId="0" fillId="36" borderId="0" xfId="0" applyNumberFormat="1" applyFill="1" applyAlignment="1">
      <alignment/>
    </xf>
    <xf numFmtId="1" fontId="0" fillId="0" borderId="0" xfId="0" applyNumberFormat="1" applyAlignment="1">
      <alignment/>
    </xf>
    <xf numFmtId="0" fontId="18" fillId="0" borderId="0" xfId="0" applyFont="1" applyAlignment="1">
      <alignment/>
    </xf>
    <xf numFmtId="0" fontId="0" fillId="0" borderId="0" xfId="0" applyNumberFormat="1" applyAlignment="1">
      <alignment/>
    </xf>
    <xf numFmtId="2" fontId="0" fillId="0" borderId="0" xfId="0" applyNumberFormat="1" applyFill="1" applyAlignment="1">
      <alignment/>
    </xf>
    <xf numFmtId="2" fontId="0" fillId="0" borderId="0" xfId="0" applyNumberFormat="1" applyAlignment="1">
      <alignment/>
    </xf>
    <xf numFmtId="0" fontId="0" fillId="0" borderId="0" xfId="0" applyFont="1" applyAlignment="1">
      <alignment wrapText="1"/>
    </xf>
    <xf numFmtId="0" fontId="15" fillId="0" borderId="0" xfId="0" applyFont="1" applyFill="1" applyAlignment="1">
      <alignment/>
    </xf>
    <xf numFmtId="0" fontId="0" fillId="0" borderId="0" xfId="0" applyFont="1" applyFill="1" applyAlignment="1">
      <alignment/>
    </xf>
    <xf numFmtId="0" fontId="16" fillId="0" borderId="0" xfId="0" applyFont="1" applyFill="1" applyAlignment="1">
      <alignment/>
    </xf>
    <xf numFmtId="165" fontId="0" fillId="0" borderId="0" xfId="0" applyNumberFormat="1" applyAlignment="1">
      <alignment/>
    </xf>
    <xf numFmtId="166" fontId="0" fillId="0" borderId="0" xfId="0" applyNumberFormat="1" applyAlignment="1">
      <alignment/>
    </xf>
    <xf numFmtId="9" fontId="0" fillId="0" borderId="0" xfId="0" applyNumberFormat="1" applyAlignment="1">
      <alignment/>
    </xf>
    <xf numFmtId="1" fontId="0" fillId="0" borderId="0" xfId="0" applyNumberFormat="1" applyFont="1" applyAlignment="1">
      <alignment/>
    </xf>
    <xf numFmtId="9" fontId="0" fillId="36" borderId="0" xfId="55" applyFont="1" applyFill="1" applyBorder="1" applyAlignment="1" applyProtection="1">
      <alignment/>
      <protection/>
    </xf>
    <xf numFmtId="166" fontId="16" fillId="0" borderId="0" xfId="0" applyNumberFormat="1" applyFont="1" applyAlignment="1">
      <alignment/>
    </xf>
    <xf numFmtId="0" fontId="15" fillId="35" borderId="0" xfId="0" applyFont="1" applyFill="1" applyBorder="1" applyAlignment="1">
      <alignment/>
    </xf>
    <xf numFmtId="3" fontId="0" fillId="36" borderId="0" xfId="0" applyNumberFormat="1" applyFill="1" applyAlignment="1">
      <alignment/>
    </xf>
    <xf numFmtId="0" fontId="22" fillId="0" borderId="0" xfId="0" applyFont="1" applyAlignment="1">
      <alignment/>
    </xf>
    <xf numFmtId="0" fontId="23" fillId="0" borderId="0" xfId="0" applyFont="1" applyAlignment="1">
      <alignment/>
    </xf>
    <xf numFmtId="1" fontId="16" fillId="0" borderId="0" xfId="0" applyNumberFormat="1" applyFont="1" applyFill="1" applyAlignment="1">
      <alignment/>
    </xf>
    <xf numFmtId="166" fontId="14" fillId="37" borderId="0" xfId="45" applyNumberFormat="1" applyFont="1" applyFill="1" applyBorder="1" applyAlignment="1" applyProtection="1">
      <alignment/>
      <protection/>
    </xf>
    <xf numFmtId="165" fontId="14" fillId="37" borderId="0" xfId="45" applyFont="1" applyFill="1" applyBorder="1" applyAlignment="1" applyProtection="1">
      <alignment/>
      <protection/>
    </xf>
    <xf numFmtId="0" fontId="0" fillId="38" borderId="0" xfId="0" applyFill="1" applyBorder="1" applyAlignment="1">
      <alignment/>
    </xf>
    <xf numFmtId="166" fontId="0" fillId="0" borderId="0" xfId="45" applyNumberFormat="1" applyFont="1" applyFill="1" applyBorder="1" applyAlignment="1" applyProtection="1">
      <alignment/>
      <protection/>
    </xf>
    <xf numFmtId="166" fontId="0" fillId="39" borderId="0" xfId="45" applyNumberFormat="1" applyFont="1" applyFill="1" applyBorder="1" applyAlignment="1" applyProtection="1">
      <alignment/>
      <protection/>
    </xf>
    <xf numFmtId="0" fontId="15" fillId="39" borderId="0" xfId="0" applyFont="1" applyFill="1" applyAlignment="1">
      <alignment/>
    </xf>
    <xf numFmtId="167" fontId="0" fillId="40" borderId="12" xfId="45" applyNumberFormat="1" applyFont="1" applyFill="1" applyBorder="1" applyAlignment="1" applyProtection="1">
      <alignment/>
      <protection/>
    </xf>
    <xf numFmtId="165" fontId="0" fillId="41" borderId="13" xfId="45" applyNumberFormat="1" applyFont="1" applyFill="1" applyBorder="1" applyAlignment="1" applyProtection="1">
      <alignment/>
      <protection/>
    </xf>
    <xf numFmtId="165" fontId="0" fillId="36" borderId="0" xfId="45" applyNumberFormat="1" applyFont="1" applyFill="1" applyBorder="1" applyAlignment="1" applyProtection="1">
      <alignment/>
      <protection/>
    </xf>
    <xf numFmtId="175" fontId="16" fillId="0" borderId="0" xfId="0" applyNumberFormat="1" applyFont="1" applyFill="1" applyAlignment="1">
      <alignment/>
    </xf>
    <xf numFmtId="9" fontId="0" fillId="36" borderId="0" xfId="55" applyFill="1" applyBorder="1" applyAlignment="1" applyProtection="1">
      <alignment/>
      <protection/>
    </xf>
    <xf numFmtId="0" fontId="14" fillId="42" borderId="0" xfId="0" applyFont="1" applyFill="1" applyAlignment="1">
      <alignment/>
    </xf>
    <xf numFmtId="166" fontId="0" fillId="36" borderId="0" xfId="45" applyNumberFormat="1" applyFill="1" applyAlignment="1">
      <alignment/>
    </xf>
    <xf numFmtId="9" fontId="0" fillId="36" borderId="0" xfId="55" applyFill="1" applyAlignment="1">
      <alignment/>
    </xf>
    <xf numFmtId="166" fontId="14" fillId="42" borderId="0" xfId="0" applyNumberFormat="1" applyFont="1" applyFill="1" applyAlignment="1">
      <alignment/>
    </xf>
    <xf numFmtId="9" fontId="0" fillId="0" borderId="0" xfId="0" applyNumberFormat="1" applyFill="1" applyAlignment="1">
      <alignment/>
    </xf>
    <xf numFmtId="0" fontId="21" fillId="42" borderId="0" xfId="0" applyFont="1" applyFill="1" applyAlignment="1">
      <alignment/>
    </xf>
    <xf numFmtId="1" fontId="14" fillId="42" borderId="0" xfId="45" applyNumberFormat="1" applyFont="1" applyFill="1" applyBorder="1" applyAlignment="1" applyProtection="1">
      <alignment/>
      <protection/>
    </xf>
    <xf numFmtId="3" fontId="21" fillId="42" borderId="0" xfId="0" applyNumberFormat="1" applyFont="1" applyFill="1" applyAlignment="1">
      <alignment/>
    </xf>
    <xf numFmtId="166" fontId="14" fillId="42" borderId="0" xfId="45" applyNumberFormat="1" applyFont="1" applyFill="1" applyBorder="1" applyAlignment="1" applyProtection="1">
      <alignment/>
      <protection/>
    </xf>
    <xf numFmtId="9" fontId="0" fillId="43" borderId="0" xfId="45" applyNumberFormat="1" applyFont="1" applyFill="1" applyBorder="1" applyAlignment="1" applyProtection="1">
      <alignment/>
      <protection/>
    </xf>
    <xf numFmtId="0" fontId="0" fillId="43" borderId="0" xfId="0" applyFill="1" applyAlignment="1">
      <alignment/>
    </xf>
    <xf numFmtId="172" fontId="0" fillId="43" borderId="0" xfId="45" applyNumberFormat="1" applyFont="1" applyFill="1" applyBorder="1" applyAlignment="1" applyProtection="1">
      <alignment/>
      <protection/>
    </xf>
    <xf numFmtId="0" fontId="0" fillId="38" borderId="0" xfId="0" applyFill="1" applyAlignment="1">
      <alignment/>
    </xf>
    <xf numFmtId="3" fontId="0" fillId="38" borderId="0" xfId="0" applyNumberFormat="1" applyFill="1" applyAlignment="1">
      <alignment/>
    </xf>
    <xf numFmtId="0" fontId="21" fillId="0" borderId="0" xfId="0" applyFont="1" applyBorder="1" applyAlignment="1">
      <alignment/>
    </xf>
    <xf numFmtId="176" fontId="0" fillId="36" borderId="0" xfId="45" applyNumberFormat="1" applyFont="1" applyFill="1" applyBorder="1" applyAlignment="1" applyProtection="1">
      <alignment/>
      <protection/>
    </xf>
    <xf numFmtId="166" fontId="0" fillId="38" borderId="12" xfId="45" applyNumberFormat="1" applyFill="1" applyBorder="1" applyAlignment="1">
      <alignment/>
    </xf>
    <xf numFmtId="0" fontId="2" fillId="44" borderId="0" xfId="52" applyFont="1" applyFill="1" applyAlignment="1">
      <alignment horizontal="center"/>
      <protection/>
    </xf>
    <xf numFmtId="0" fontId="0" fillId="35" borderId="0" xfId="0" applyFill="1" applyBorder="1" applyAlignment="1">
      <alignment/>
    </xf>
    <xf numFmtId="0" fontId="13" fillId="35" borderId="0" xfId="0" applyFont="1" applyFill="1" applyBorder="1" applyAlignment="1">
      <alignment/>
    </xf>
    <xf numFmtId="0" fontId="0" fillId="0" borderId="0" xfId="0" applyFont="1" applyFill="1" applyBorder="1" applyAlignment="1">
      <alignment/>
    </xf>
    <xf numFmtId="167" fontId="0" fillId="0" borderId="0" xfId="45" applyNumberFormat="1" applyFont="1" applyFill="1" applyBorder="1" applyAlignment="1" applyProtection="1">
      <alignment/>
      <protection/>
    </xf>
    <xf numFmtId="165" fontId="0" fillId="0" borderId="0" xfId="45" applyNumberFormat="1" applyFont="1" applyFill="1" applyBorder="1" applyAlignment="1" applyProtection="1">
      <alignment/>
      <protection/>
    </xf>
    <xf numFmtId="173" fontId="0" fillId="0" borderId="0" xfId="45" applyNumberFormat="1" applyFont="1" applyFill="1" applyBorder="1" applyAlignment="1" applyProtection="1">
      <alignment/>
      <protection/>
    </xf>
    <xf numFmtId="166" fontId="0" fillId="40" borderId="14" xfId="45" applyNumberFormat="1" applyFont="1" applyFill="1" applyBorder="1" applyAlignment="1" applyProtection="1">
      <alignment/>
      <protection/>
    </xf>
    <xf numFmtId="0" fontId="0" fillId="33" borderId="15" xfId="0" applyFont="1" applyFill="1" applyBorder="1" applyAlignment="1">
      <alignment/>
    </xf>
    <xf numFmtId="166" fontId="0" fillId="40" borderId="16" xfId="45" applyNumberFormat="1" applyFont="1" applyFill="1" applyBorder="1" applyAlignment="1" applyProtection="1">
      <alignment/>
      <protection/>
    </xf>
    <xf numFmtId="166" fontId="0" fillId="36" borderId="17" xfId="45" applyNumberFormat="1" applyFont="1" applyFill="1" applyBorder="1" applyAlignment="1" applyProtection="1">
      <alignment/>
      <protection/>
    </xf>
    <xf numFmtId="0" fontId="0" fillId="33" borderId="0" xfId="0" applyFont="1" applyFill="1" applyBorder="1" applyAlignment="1">
      <alignment/>
    </xf>
    <xf numFmtId="166" fontId="0" fillId="40" borderId="18" xfId="45" applyNumberFormat="1" applyFont="1" applyFill="1" applyBorder="1" applyAlignment="1" applyProtection="1">
      <alignment/>
      <protection/>
    </xf>
    <xf numFmtId="0" fontId="0" fillId="44" borderId="0" xfId="0" applyFont="1" applyFill="1" applyBorder="1" applyAlignment="1">
      <alignment/>
    </xf>
    <xf numFmtId="166" fontId="0" fillId="33" borderId="19" xfId="45" applyNumberFormat="1" applyFont="1" applyFill="1" applyBorder="1" applyAlignment="1" applyProtection="1">
      <alignment/>
      <protection/>
    </xf>
    <xf numFmtId="0" fontId="0" fillId="33" borderId="19" xfId="0" applyFont="1" applyFill="1" applyBorder="1" applyAlignment="1">
      <alignment/>
    </xf>
    <xf numFmtId="166" fontId="0" fillId="33" borderId="20" xfId="45" applyNumberFormat="1" applyFont="1" applyFill="1" applyBorder="1" applyAlignment="1" applyProtection="1">
      <alignment/>
      <protection/>
    </xf>
    <xf numFmtId="0" fontId="0" fillId="44" borderId="0" xfId="0" applyFill="1" applyBorder="1" applyAlignment="1">
      <alignment/>
    </xf>
    <xf numFmtId="0" fontId="0" fillId="44" borderId="19" xfId="0" applyFill="1" applyBorder="1" applyAlignment="1">
      <alignment/>
    </xf>
    <xf numFmtId="0" fontId="0" fillId="45" borderId="21" xfId="0" applyFont="1" applyFill="1" applyBorder="1" applyAlignment="1">
      <alignment/>
    </xf>
    <xf numFmtId="0" fontId="0" fillId="45" borderId="22" xfId="0" applyFont="1" applyFill="1" applyBorder="1" applyAlignment="1">
      <alignment/>
    </xf>
    <xf numFmtId="166" fontId="0" fillId="45" borderId="23" xfId="45" applyNumberFormat="1" applyFont="1" applyFill="1" applyBorder="1" applyAlignment="1" applyProtection="1">
      <alignment/>
      <protection/>
    </xf>
    <xf numFmtId="166" fontId="0" fillId="0" borderId="0" xfId="45" applyNumberFormat="1" applyAlignment="1">
      <alignment/>
    </xf>
    <xf numFmtId="166" fontId="0" fillId="44" borderId="0" xfId="0" applyNumberFormat="1" applyFont="1" applyFill="1" applyBorder="1" applyAlignment="1">
      <alignment/>
    </xf>
    <xf numFmtId="0" fontId="0" fillId="0" borderId="0" xfId="0" applyBorder="1" applyAlignment="1">
      <alignment horizontal="left" wrapText="1"/>
    </xf>
    <xf numFmtId="0" fontId="0" fillId="0" borderId="0" xfId="0" applyFont="1" applyBorder="1" applyAlignment="1">
      <alignment horizontal="left" wrapText="1"/>
    </xf>
    <xf numFmtId="165" fontId="0" fillId="36" borderId="0" xfId="45" applyNumberFormat="1"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1847850</xdr:colOff>
      <xdr:row>5</xdr:row>
      <xdr:rowOff>57150</xdr:rowOff>
    </xdr:to>
    <xdr:pic>
      <xdr:nvPicPr>
        <xdr:cNvPr id="1" name="Picture 24"/>
        <xdr:cNvPicPr preferRelativeResize="1">
          <a:picLocks noChangeAspect="1"/>
        </xdr:cNvPicPr>
      </xdr:nvPicPr>
      <xdr:blipFill>
        <a:blip r:embed="rId1"/>
        <a:stretch>
          <a:fillRect/>
        </a:stretch>
      </xdr:blipFill>
      <xdr:spPr>
        <a:xfrm>
          <a:off x="0" y="161925"/>
          <a:ext cx="18478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1257300</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477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1257300</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47775" cy="533400"/>
        </a:xfrm>
        <a:prstGeom prst="rect">
          <a:avLst/>
        </a:prstGeom>
        <a:noFill/>
        <a:ln w="9525" cmpd="sng">
          <a:noFill/>
        </a:ln>
      </xdr:spPr>
    </xdr:pic>
    <xdr:clientData/>
  </xdr:twoCellAnchor>
  <xdr:twoCellAnchor>
    <xdr:from>
      <xdr:col>0</xdr:col>
      <xdr:colOff>9525</xdr:colOff>
      <xdr:row>0</xdr:row>
      <xdr:rowOff>0</xdr:rowOff>
    </xdr:from>
    <xdr:to>
      <xdr:col>0</xdr:col>
      <xdr:colOff>1257300</xdr:colOff>
      <xdr:row>1</xdr:row>
      <xdr:rowOff>190500</xdr:rowOff>
    </xdr:to>
    <xdr:pic>
      <xdr:nvPicPr>
        <xdr:cNvPr id="2" name="Picture 1"/>
        <xdr:cNvPicPr preferRelativeResize="1">
          <a:picLocks noChangeAspect="1"/>
        </xdr:cNvPicPr>
      </xdr:nvPicPr>
      <xdr:blipFill>
        <a:blip r:embed="rId1"/>
        <a:stretch>
          <a:fillRect/>
        </a:stretch>
      </xdr:blipFill>
      <xdr:spPr>
        <a:xfrm>
          <a:off x="9525" y="0"/>
          <a:ext cx="12477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1257300</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47775" cy="533400"/>
        </a:xfrm>
        <a:prstGeom prst="rect">
          <a:avLst/>
        </a:prstGeom>
        <a:noFill/>
        <a:ln w="9525" cmpd="sng">
          <a:noFill/>
        </a:ln>
      </xdr:spPr>
    </xdr:pic>
    <xdr:clientData/>
  </xdr:twoCellAnchor>
  <xdr:twoCellAnchor>
    <xdr:from>
      <xdr:col>0</xdr:col>
      <xdr:colOff>9525</xdr:colOff>
      <xdr:row>0</xdr:row>
      <xdr:rowOff>0</xdr:rowOff>
    </xdr:from>
    <xdr:to>
      <xdr:col>0</xdr:col>
      <xdr:colOff>1257300</xdr:colOff>
      <xdr:row>2</xdr:row>
      <xdr:rowOff>0</xdr:rowOff>
    </xdr:to>
    <xdr:pic>
      <xdr:nvPicPr>
        <xdr:cNvPr id="2" name="Picture 1"/>
        <xdr:cNvPicPr preferRelativeResize="1">
          <a:picLocks noChangeAspect="1"/>
        </xdr:cNvPicPr>
      </xdr:nvPicPr>
      <xdr:blipFill>
        <a:blip r:embed="rId1"/>
        <a:stretch>
          <a:fillRect/>
        </a:stretch>
      </xdr:blipFill>
      <xdr:spPr>
        <a:xfrm>
          <a:off x="9525" y="0"/>
          <a:ext cx="12477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1257300</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47775" cy="533400"/>
        </a:xfrm>
        <a:prstGeom prst="rect">
          <a:avLst/>
        </a:prstGeom>
        <a:noFill/>
        <a:ln w="9525" cmpd="sng">
          <a:noFill/>
        </a:ln>
      </xdr:spPr>
    </xdr:pic>
    <xdr:clientData/>
  </xdr:twoCellAnchor>
  <xdr:twoCellAnchor>
    <xdr:from>
      <xdr:col>0</xdr:col>
      <xdr:colOff>9525</xdr:colOff>
      <xdr:row>0</xdr:row>
      <xdr:rowOff>0</xdr:rowOff>
    </xdr:from>
    <xdr:to>
      <xdr:col>0</xdr:col>
      <xdr:colOff>1257300</xdr:colOff>
      <xdr:row>1</xdr:row>
      <xdr:rowOff>190500</xdr:rowOff>
    </xdr:to>
    <xdr:pic>
      <xdr:nvPicPr>
        <xdr:cNvPr id="2" name="Picture 1"/>
        <xdr:cNvPicPr preferRelativeResize="1">
          <a:picLocks noChangeAspect="1"/>
        </xdr:cNvPicPr>
      </xdr:nvPicPr>
      <xdr:blipFill>
        <a:blip r:embed="rId1"/>
        <a:stretch>
          <a:fillRect/>
        </a:stretch>
      </xdr:blipFill>
      <xdr:spPr>
        <a:xfrm>
          <a:off x="9525" y="0"/>
          <a:ext cx="12477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1</xdr:col>
      <xdr:colOff>104775</xdr:colOff>
      <xdr:row>2</xdr:row>
      <xdr:rowOff>19050</xdr:rowOff>
    </xdr:to>
    <xdr:pic>
      <xdr:nvPicPr>
        <xdr:cNvPr id="1" name="Picture 1"/>
        <xdr:cNvPicPr preferRelativeResize="1">
          <a:picLocks noChangeAspect="1"/>
        </xdr:cNvPicPr>
      </xdr:nvPicPr>
      <xdr:blipFill>
        <a:blip r:embed="rId1"/>
        <a:stretch>
          <a:fillRect/>
        </a:stretch>
      </xdr:blipFill>
      <xdr:spPr>
        <a:xfrm>
          <a:off x="133350" y="0"/>
          <a:ext cx="1057275" cy="552450"/>
        </a:xfrm>
        <a:prstGeom prst="rect">
          <a:avLst/>
        </a:prstGeom>
        <a:noFill/>
        <a:ln w="9525" cmpd="sng">
          <a:noFill/>
        </a:ln>
      </xdr:spPr>
    </xdr:pic>
    <xdr:clientData/>
  </xdr:twoCellAnchor>
  <xdr:twoCellAnchor>
    <xdr:from>
      <xdr:col>0</xdr:col>
      <xdr:colOff>142875</xdr:colOff>
      <xdr:row>0</xdr:row>
      <xdr:rowOff>0</xdr:rowOff>
    </xdr:from>
    <xdr:to>
      <xdr:col>1</xdr:col>
      <xdr:colOff>114300</xdr:colOff>
      <xdr:row>2</xdr:row>
      <xdr:rowOff>19050</xdr:rowOff>
    </xdr:to>
    <xdr:pic>
      <xdr:nvPicPr>
        <xdr:cNvPr id="2" name="Picture 1"/>
        <xdr:cNvPicPr preferRelativeResize="1">
          <a:picLocks noChangeAspect="1"/>
        </xdr:cNvPicPr>
      </xdr:nvPicPr>
      <xdr:blipFill>
        <a:blip r:embed="rId1"/>
        <a:stretch>
          <a:fillRect/>
        </a:stretch>
      </xdr:blipFill>
      <xdr:spPr>
        <a:xfrm>
          <a:off x="142875" y="0"/>
          <a:ext cx="10572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off@groasis.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8"/>
  <sheetViews>
    <sheetView tabSelected="1" zoomScalePageLayoutView="0" workbookViewId="0" topLeftCell="A1">
      <selection activeCell="A1" sqref="A1"/>
    </sheetView>
  </sheetViews>
  <sheetFormatPr defaultColWidth="9.140625" defaultRowHeight="15"/>
  <cols>
    <col min="1" max="1" width="104.8515625" style="1" customWidth="1"/>
    <col min="2" max="16384" width="9.140625" style="1" customWidth="1"/>
  </cols>
  <sheetData>
    <row r="1" ht="12.75">
      <c r="A1" s="2"/>
    </row>
    <row r="2" ht="12.75">
      <c r="A2" s="2"/>
    </row>
    <row r="3" ht="23.25">
      <c r="A3" s="3"/>
    </row>
    <row r="4" ht="12.75">
      <c r="A4" s="84"/>
    </row>
    <row r="5" ht="12.75">
      <c r="A5" s="2"/>
    </row>
    <row r="6" ht="12.75">
      <c r="A6" s="2"/>
    </row>
    <row r="7" ht="93.75" customHeight="1">
      <c r="A7" s="4" t="s">
        <v>0</v>
      </c>
    </row>
    <row r="8" ht="31.5">
      <c r="A8" s="5" t="s">
        <v>1</v>
      </c>
    </row>
    <row r="9" ht="26.25">
      <c r="A9" s="6" t="s">
        <v>150</v>
      </c>
    </row>
    <row r="10" ht="31.5">
      <c r="A10" s="5" t="s">
        <v>144</v>
      </c>
    </row>
    <row r="11" ht="31.5">
      <c r="A11" s="7"/>
    </row>
    <row r="12" ht="63">
      <c r="A12" s="8" t="s">
        <v>151</v>
      </c>
    </row>
    <row r="13" ht="15.75">
      <c r="A13" s="9"/>
    </row>
    <row r="14" ht="12.75">
      <c r="A14" s="10" t="s">
        <v>2</v>
      </c>
    </row>
    <row r="15" ht="12.75">
      <c r="A15" s="11" t="s">
        <v>3</v>
      </c>
    </row>
    <row r="18" ht="15.75">
      <c r="A18" s="12"/>
    </row>
    <row r="19" ht="15.75">
      <c r="A19" s="12"/>
    </row>
    <row r="20" ht="12.75">
      <c r="A20" s="2"/>
    </row>
    <row r="21" ht="12.75">
      <c r="A21" s="2"/>
    </row>
    <row r="22" ht="12.75">
      <c r="A22" s="2"/>
    </row>
    <row r="23" ht="15.75">
      <c r="A23" s="13" t="s">
        <v>4</v>
      </c>
    </row>
    <row r="24" ht="12.75">
      <c r="A24" s="14" t="s">
        <v>5</v>
      </c>
    </row>
    <row r="25" ht="15.75">
      <c r="A25" s="13"/>
    </row>
    <row r="27" ht="12.75">
      <c r="A27" s="2"/>
    </row>
    <row r="28" ht="12.75">
      <c r="A28" s="15" t="s">
        <v>6</v>
      </c>
    </row>
  </sheetData>
  <sheetProtection selectLockedCells="1" selectUnlockedCells="1"/>
  <hyperlinks>
    <hyperlink ref="A24" r:id="rId1" display="phoff@groasis.com"/>
  </hyperlinks>
  <printOptions/>
  <pageMargins left="0.75" right="0.75" top="1" bottom="1" header="0.5118055555555555" footer="0.5118055555555555"/>
  <pageSetup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5"/>
  <cols>
    <col min="1" max="1" width="54.57421875" style="0" customWidth="1"/>
    <col min="2" max="2" width="9.57421875" style="0" customWidth="1"/>
    <col min="3" max="3" width="24.8515625" style="0" customWidth="1"/>
    <col min="4" max="4" width="5.140625" style="22" customWidth="1"/>
    <col min="5" max="6" width="9.140625" style="22" customWidth="1"/>
  </cols>
  <sheetData>
    <row r="1" spans="1:6" s="17" customFormat="1" ht="27" customHeight="1">
      <c r="A1" s="16" t="s">
        <v>7</v>
      </c>
      <c r="B1" s="16"/>
      <c r="C1" s="16"/>
      <c r="D1" s="87"/>
      <c r="E1" s="87"/>
      <c r="F1" s="87"/>
    </row>
    <row r="2" spans="1:6" s="17" customFormat="1" ht="15">
      <c r="A2" s="16" t="s">
        <v>8</v>
      </c>
      <c r="B2" s="16"/>
      <c r="C2" s="16"/>
      <c r="D2" s="87"/>
      <c r="E2" s="87"/>
      <c r="F2" s="87"/>
    </row>
    <row r="3" spans="4:6" s="17" customFormat="1" ht="15">
      <c r="D3" s="20"/>
      <c r="E3" s="20"/>
      <c r="F3" s="20"/>
    </row>
    <row r="4" spans="1:6" s="17" customFormat="1" ht="15">
      <c r="A4" s="18" t="s">
        <v>9</v>
      </c>
      <c r="D4" s="20"/>
      <c r="E4" s="20"/>
      <c r="F4" s="20"/>
    </row>
    <row r="5" spans="1:6" s="17" customFormat="1" ht="30.75" customHeight="1">
      <c r="A5" s="108" t="s">
        <v>152</v>
      </c>
      <c r="B5" s="109"/>
      <c r="C5" s="109"/>
      <c r="D5" s="109"/>
      <c r="E5" s="109"/>
      <c r="F5" s="109"/>
    </row>
    <row r="6" ht="15"/>
    <row r="7" spans="1:6" ht="15.75" thickBot="1">
      <c r="A7" s="81" t="s">
        <v>32</v>
      </c>
      <c r="F7" s="20"/>
    </row>
    <row r="8" spans="1:4" ht="15.75" thickBot="1">
      <c r="A8" t="s">
        <v>146</v>
      </c>
      <c r="C8" s="62"/>
      <c r="D8" s="88"/>
    </row>
    <row r="9" ht="15"/>
    <row r="10" ht="15.75" thickBot="1">
      <c r="A10" t="s">
        <v>10</v>
      </c>
    </row>
    <row r="11" spans="1:5" ht="15.75" thickBot="1">
      <c r="A11" s="91" t="s">
        <v>11</v>
      </c>
      <c r="B11" s="92" t="s">
        <v>12</v>
      </c>
      <c r="C11" s="93">
        <v>2000000000</v>
      </c>
      <c r="D11" s="59"/>
      <c r="E11" s="42" t="s">
        <v>13</v>
      </c>
    </row>
    <row r="12" spans="1:5" ht="15.75" thickBot="1">
      <c r="A12" s="94" t="s">
        <v>14</v>
      </c>
      <c r="B12" s="95" t="s">
        <v>15</v>
      </c>
      <c r="C12" s="96">
        <v>60</v>
      </c>
      <c r="D12" s="59"/>
      <c r="E12" s="42" t="s">
        <v>16</v>
      </c>
    </row>
    <row r="13" spans="1:5" ht="15.75" thickBot="1">
      <c r="A13" s="94" t="s">
        <v>17</v>
      </c>
      <c r="B13" s="95" t="s">
        <v>18</v>
      </c>
      <c r="C13" s="96">
        <v>4</v>
      </c>
      <c r="D13" s="59"/>
      <c r="E13" s="42" t="s">
        <v>19</v>
      </c>
    </row>
    <row r="14" spans="1:5" ht="15.75" thickBot="1">
      <c r="A14" s="94" t="s">
        <v>153</v>
      </c>
      <c r="B14" s="97"/>
      <c r="C14" s="96">
        <v>250</v>
      </c>
      <c r="D14" s="59"/>
      <c r="E14" s="42" t="s">
        <v>154</v>
      </c>
    </row>
    <row r="15" spans="1:5" ht="15.75" thickBot="1">
      <c r="A15" s="94" t="s">
        <v>20</v>
      </c>
      <c r="B15" s="95"/>
      <c r="C15" s="96">
        <v>46</v>
      </c>
      <c r="D15" s="59"/>
      <c r="E15" s="42" t="s">
        <v>21</v>
      </c>
    </row>
    <row r="16" spans="1:5" ht="15">
      <c r="A16" s="98" t="s">
        <v>22</v>
      </c>
      <c r="B16" s="95" t="s">
        <v>23</v>
      </c>
      <c r="C16" s="100">
        <f>Werkgelegenheid!C13</f>
        <v>724637.6811594203</v>
      </c>
      <c r="D16" s="89"/>
      <c r="E16" s="42"/>
    </row>
    <row r="17" spans="1:4" ht="15">
      <c r="A17" s="99" t="s">
        <v>24</v>
      </c>
      <c r="B17" s="95" t="s">
        <v>25</v>
      </c>
      <c r="C17" s="100">
        <f>C25/C12</f>
        <v>65000.52325</v>
      </c>
      <c r="D17" s="89"/>
    </row>
    <row r="18" spans="1:4" ht="15">
      <c r="A18" s="99" t="s">
        <v>26</v>
      </c>
      <c r="B18" s="95" t="s">
        <v>18</v>
      </c>
      <c r="C18" s="100">
        <f>(C25*1000000)/C11</f>
        <v>1950.0156975</v>
      </c>
      <c r="D18" s="21"/>
    </row>
    <row r="19" spans="1:4" ht="15">
      <c r="A19" s="99" t="s">
        <v>27</v>
      </c>
      <c r="B19" s="101" t="s">
        <v>141</v>
      </c>
      <c r="C19" s="100">
        <f>Werkgelegenheid!C49</f>
        <v>7082079.666666667</v>
      </c>
      <c r="D19" s="21"/>
    </row>
    <row r="20" spans="1:4" ht="15">
      <c r="A20" s="99" t="s">
        <v>28</v>
      </c>
      <c r="B20" s="95" t="s">
        <v>29</v>
      </c>
      <c r="C20" s="100">
        <f>Kwekerij!C26</f>
        <v>77717391.30434781</v>
      </c>
      <c r="D20" s="21"/>
    </row>
    <row r="21" spans="1:4" ht="15">
      <c r="A21" s="102" t="s">
        <v>138</v>
      </c>
      <c r="B21" s="97">
        <v>15</v>
      </c>
      <c r="C21" s="100">
        <f>C11*B21</f>
        <v>30000000000</v>
      </c>
      <c r="D21" s="21"/>
    </row>
    <row r="22" spans="1:4" ht="15.75" thickBot="1">
      <c r="A22" s="102" t="s">
        <v>139</v>
      </c>
      <c r="B22" s="107">
        <f>50+(C12/2)</f>
        <v>80</v>
      </c>
      <c r="C22" s="100">
        <f>C21*B22</f>
        <v>2400000000000</v>
      </c>
      <c r="D22" s="21"/>
    </row>
    <row r="23" spans="1:4" ht="15.75" thickBot="1">
      <c r="A23" s="102" t="s">
        <v>140</v>
      </c>
      <c r="B23" s="97"/>
      <c r="C23" s="63">
        <f>(C25*1000000)/C22</f>
        <v>1.62501308125</v>
      </c>
      <c r="D23" s="90"/>
    </row>
    <row r="24" spans="1:4" ht="15.75" thickBot="1">
      <c r="A24" s="99" t="s">
        <v>30</v>
      </c>
      <c r="B24" s="95"/>
      <c r="C24" s="100">
        <f>'Kosten van het planten'!C16*'Kosten van het planten'!C22*'Kosten van het planten'!C8</f>
        <v>900000000000</v>
      </c>
      <c r="D24" s="21"/>
    </row>
    <row r="25" spans="1:4" ht="15.75" thickBot="1">
      <c r="A25" s="103" t="s">
        <v>31</v>
      </c>
      <c r="B25" s="104" t="s">
        <v>25</v>
      </c>
      <c r="C25" s="105">
        <f>('Kosten van het planten'!C55*'Kosten van het planten'!C8)/1000000</f>
        <v>3900031.395</v>
      </c>
      <c r="D25" s="21"/>
    </row>
    <row r="26" spans="1:4" s="22" customFormat="1" ht="15">
      <c r="A26" s="20"/>
      <c r="B26" s="20"/>
      <c r="C26" s="21"/>
      <c r="D26" s="21"/>
    </row>
    <row r="27" ht="15"/>
    <row r="28" ht="15"/>
    <row r="29" ht="15"/>
    <row r="30" ht="15"/>
    <row r="31" ht="15"/>
    <row r="32" ht="15"/>
    <row r="33" ht="15"/>
    <row r="34" ht="15"/>
    <row r="35" ht="15"/>
    <row r="36" ht="15"/>
  </sheetData>
  <sheetProtection selectLockedCells="1" selectUnlockedCells="1"/>
  <mergeCells count="1">
    <mergeCell ref="A5:F5"/>
  </mergeCells>
  <printOptions/>
  <pageMargins left="0.7" right="0.7" top="0.75" bottom="0.75" header="0.5118055555555555" footer="0.511805555555555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R56"/>
  <sheetViews>
    <sheetView zoomScalePageLayoutView="0" workbookViewId="0" topLeftCell="A7">
      <selection activeCell="H34" sqref="H34"/>
    </sheetView>
  </sheetViews>
  <sheetFormatPr defaultColWidth="9.140625" defaultRowHeight="15"/>
  <cols>
    <col min="1" max="1" width="66.28125" style="0" customWidth="1"/>
    <col min="2" max="2" width="11.00390625" style="0" customWidth="1"/>
    <col min="3" max="3" width="13.8515625" style="0" customWidth="1"/>
    <col min="4" max="4" width="3.8515625" style="0" customWidth="1"/>
    <col min="9" max="9" width="10.00390625" style="0" customWidth="1"/>
  </cols>
  <sheetData>
    <row r="1" spans="1:5" s="17" customFormat="1" ht="27" customHeight="1">
      <c r="A1" s="16" t="s">
        <v>7</v>
      </c>
      <c r="B1" s="16"/>
      <c r="C1" s="16"/>
      <c r="D1" s="87"/>
      <c r="E1" s="87"/>
    </row>
    <row r="2" spans="1:5" s="17" customFormat="1" ht="15">
      <c r="A2" s="16" t="s">
        <v>8</v>
      </c>
      <c r="B2" s="16"/>
      <c r="C2" s="16"/>
      <c r="D2" s="87"/>
      <c r="E2" s="87"/>
    </row>
    <row r="4" ht="15">
      <c r="A4" t="s">
        <v>155</v>
      </c>
    </row>
    <row r="6" spans="1:3" ht="15">
      <c r="A6" s="24" t="s">
        <v>33</v>
      </c>
      <c r="B6" s="25" t="s">
        <v>34</v>
      </c>
      <c r="C6" s="26" t="s">
        <v>35</v>
      </c>
    </row>
    <row r="8" spans="1:3" ht="15">
      <c r="A8" t="s">
        <v>36</v>
      </c>
      <c r="B8" t="s">
        <v>12</v>
      </c>
      <c r="C8" s="106">
        <f>'Inleiding en kerngegevens'!C11</f>
        <v>2000000000</v>
      </c>
    </row>
    <row r="9" spans="1:3" ht="15">
      <c r="A9" t="s">
        <v>37</v>
      </c>
      <c r="B9" t="s">
        <v>15</v>
      </c>
      <c r="C9">
        <f>'Inleiding en kerngegevens'!C12</f>
        <v>60</v>
      </c>
    </row>
    <row r="11" spans="1:3" ht="15">
      <c r="A11" t="s">
        <v>38</v>
      </c>
      <c r="B11" t="s">
        <v>18</v>
      </c>
      <c r="C11">
        <f>Werkgelegenheid!C38*'Inleiding en kerngegevens'!C13</f>
        <v>32</v>
      </c>
    </row>
    <row r="12" spans="1:3" ht="15">
      <c r="A12" s="28" t="s">
        <v>39</v>
      </c>
      <c r="B12" t="s">
        <v>18</v>
      </c>
      <c r="C12" s="28">
        <f>C11</f>
        <v>32</v>
      </c>
    </row>
    <row r="14" spans="1:3" ht="15">
      <c r="A14" t="s">
        <v>156</v>
      </c>
      <c r="C14">
        <f>'Inleiding en kerngegevens'!C14</f>
        <v>250</v>
      </c>
    </row>
    <row r="15" spans="1:14" ht="15">
      <c r="A15" t="s">
        <v>157</v>
      </c>
      <c r="C15" s="27">
        <v>2</v>
      </c>
      <c r="E15" s="19" t="s">
        <v>40</v>
      </c>
      <c r="M15" s="31">
        <v>1</v>
      </c>
      <c r="N15" s="31">
        <v>2</v>
      </c>
    </row>
    <row r="16" spans="1:3" ht="15">
      <c r="A16" t="s">
        <v>41</v>
      </c>
      <c r="C16">
        <f>C14*C15</f>
        <v>500</v>
      </c>
    </row>
    <row r="17" spans="1:14" ht="15">
      <c r="A17" t="s">
        <v>158</v>
      </c>
      <c r="C17" s="27">
        <v>2</v>
      </c>
      <c r="E17" s="19" t="s">
        <v>42</v>
      </c>
      <c r="M17" s="31">
        <v>1</v>
      </c>
      <c r="N17" s="31">
        <v>2</v>
      </c>
    </row>
    <row r="18" spans="1:5" ht="15">
      <c r="A18" t="s">
        <v>43</v>
      </c>
      <c r="B18" t="s">
        <v>18</v>
      </c>
      <c r="C18" s="64">
        <v>0.25</v>
      </c>
      <c r="E18" s="19" t="s">
        <v>44</v>
      </c>
    </row>
    <row r="19" spans="1:5" ht="15">
      <c r="A19" t="s">
        <v>45</v>
      </c>
      <c r="B19" t="s">
        <v>18</v>
      </c>
      <c r="C19" s="64">
        <v>0.25</v>
      </c>
      <c r="E19" s="19" t="s">
        <v>44</v>
      </c>
    </row>
    <row r="20" spans="1:3" ht="15">
      <c r="A20" s="28" t="s">
        <v>46</v>
      </c>
      <c r="B20" s="28" t="s">
        <v>18</v>
      </c>
      <c r="C20" s="34">
        <f>IF(C17=M17,(C16*C18),(((C16/2)*C18)+((C16/2)*C19)))</f>
        <v>125</v>
      </c>
    </row>
    <row r="22" spans="1:3" ht="15">
      <c r="A22" t="s">
        <v>47</v>
      </c>
      <c r="B22" t="s">
        <v>48</v>
      </c>
      <c r="C22" s="35">
        <v>0.9</v>
      </c>
    </row>
    <row r="23" spans="1:3" ht="15">
      <c r="A23" t="s">
        <v>49</v>
      </c>
      <c r="C23" s="36">
        <f>C22*C16</f>
        <v>450</v>
      </c>
    </row>
    <row r="24" spans="1:3" ht="15">
      <c r="A24" t="s">
        <v>50</v>
      </c>
      <c r="B24" t="s">
        <v>29</v>
      </c>
      <c r="C24" s="36">
        <f>ROUND(10000/(C16*C22),0)</f>
        <v>22</v>
      </c>
    </row>
    <row r="25" ht="14.25" customHeight="1"/>
    <row r="26" spans="1:5" s="37" customFormat="1" ht="15">
      <c r="A26" s="37" t="s">
        <v>159</v>
      </c>
      <c r="B26" s="37" t="s">
        <v>18</v>
      </c>
      <c r="C26" s="110">
        <v>2.99</v>
      </c>
      <c r="E26" s="53" t="s">
        <v>51</v>
      </c>
    </row>
    <row r="27" spans="1:5" s="37" customFormat="1" ht="15">
      <c r="A27" s="54" t="s">
        <v>160</v>
      </c>
      <c r="B27" s="54" t="s">
        <v>18</v>
      </c>
      <c r="C27" s="54">
        <f>C14*C26</f>
        <v>747.5</v>
      </c>
      <c r="E27" s="53" t="s">
        <v>131</v>
      </c>
    </row>
    <row r="29" spans="1:3" ht="15">
      <c r="A29" t="s">
        <v>52</v>
      </c>
      <c r="C29" s="38">
        <f>C14</f>
        <v>250</v>
      </c>
    </row>
    <row r="30" spans="1:3" ht="15">
      <c r="A30" t="s">
        <v>53</v>
      </c>
      <c r="B30" t="s">
        <v>18</v>
      </c>
      <c r="C30" s="33">
        <v>0.18</v>
      </c>
    </row>
    <row r="31" spans="1:3" ht="15">
      <c r="A31" t="s">
        <v>54</v>
      </c>
      <c r="B31" t="s">
        <v>18</v>
      </c>
      <c r="C31" s="39">
        <f>'Inleiding en kerngegevens'!C13/Werkgelegenheid!C23</f>
        <v>0.13333333333333333</v>
      </c>
    </row>
    <row r="32" spans="1:3" ht="15">
      <c r="A32" s="28" t="s">
        <v>55</v>
      </c>
      <c r="B32" s="28" t="s">
        <v>18</v>
      </c>
      <c r="C32" s="29">
        <f>C29*(C30+C31)</f>
        <v>78.33333333333334</v>
      </c>
    </row>
    <row r="34" spans="1:3" ht="15">
      <c r="A34" t="s">
        <v>161</v>
      </c>
      <c r="B34" t="s">
        <v>18</v>
      </c>
      <c r="C34" s="40">
        <f>'Inleiding en kerngegevens'!C13/Werkgelegenheid!C28</f>
        <v>0.5</v>
      </c>
    </row>
    <row r="35" spans="1:3" ht="30">
      <c r="A35" s="41" t="s">
        <v>56</v>
      </c>
      <c r="B35" t="s">
        <v>18</v>
      </c>
      <c r="C35" s="39">
        <f>Werkgelegenheid!C45/Werkgelegenheid!C29</f>
        <v>0.546875</v>
      </c>
    </row>
    <row r="36" spans="1:3" ht="15">
      <c r="A36" s="28" t="s">
        <v>57</v>
      </c>
      <c r="B36" s="28" t="s">
        <v>18</v>
      </c>
      <c r="C36" s="29">
        <f>(C34+C35)*C14</f>
        <v>261.71875</v>
      </c>
    </row>
    <row r="38" spans="1:16" ht="15">
      <c r="A38" s="22" t="s">
        <v>134</v>
      </c>
      <c r="B38" t="s">
        <v>58</v>
      </c>
      <c r="C38" s="30">
        <v>60</v>
      </c>
      <c r="E38" s="42" t="s">
        <v>162</v>
      </c>
      <c r="F38" s="43"/>
      <c r="G38" s="43"/>
      <c r="H38" s="43"/>
      <c r="I38" s="43"/>
      <c r="J38" s="43"/>
      <c r="K38" s="43"/>
      <c r="L38" s="43"/>
      <c r="M38" s="43"/>
      <c r="N38" s="43"/>
      <c r="O38" s="43"/>
      <c r="P38" s="22"/>
    </row>
    <row r="39" spans="1:3" ht="15">
      <c r="A39" s="22" t="s">
        <v>59</v>
      </c>
      <c r="B39" t="s">
        <v>18</v>
      </c>
      <c r="C39" s="30">
        <v>0.01</v>
      </c>
    </row>
    <row r="40" spans="1:3" ht="15">
      <c r="A40" s="44" t="s">
        <v>60</v>
      </c>
      <c r="B40" s="28" t="s">
        <v>18</v>
      </c>
      <c r="C40" s="28">
        <f>C39*(C38*C14)</f>
        <v>150</v>
      </c>
    </row>
    <row r="41" ht="15">
      <c r="A41" s="22"/>
    </row>
    <row r="42" spans="1:4" ht="15">
      <c r="A42" s="44" t="s">
        <v>61</v>
      </c>
      <c r="B42" s="44"/>
      <c r="C42" s="44">
        <f>(C14/Werkgelegenheid!C35)*'Inleiding en kerngegevens'!C13</f>
        <v>50</v>
      </c>
      <c r="D42" s="22"/>
    </row>
    <row r="43" ht="15">
      <c r="A43" s="22"/>
    </row>
    <row r="44" spans="1:3" ht="15">
      <c r="A44" s="22" t="s">
        <v>135</v>
      </c>
      <c r="B44" s="22" t="s">
        <v>18</v>
      </c>
      <c r="C44" s="82">
        <v>0.3</v>
      </c>
    </row>
    <row r="45" spans="1:3" ht="15">
      <c r="A45" s="44" t="s">
        <v>136</v>
      </c>
      <c r="B45" s="44" t="s">
        <v>18</v>
      </c>
      <c r="C45" s="65">
        <f>C16*C44</f>
        <v>150</v>
      </c>
    </row>
    <row r="46" ht="15">
      <c r="A46" s="22"/>
    </row>
    <row r="47" spans="1:18" ht="15">
      <c r="A47" s="22" t="s">
        <v>62</v>
      </c>
      <c r="B47" t="s">
        <v>18</v>
      </c>
      <c r="C47" s="29">
        <f>('Management werkdiagram'!E28+'Management werkdiagram'!H28)/'Management werkdiagram'!C7</f>
        <v>72.128</v>
      </c>
      <c r="E47" s="19" t="s">
        <v>143</v>
      </c>
      <c r="F47" s="22"/>
      <c r="G47" s="22"/>
      <c r="H47" s="22"/>
      <c r="I47" s="22"/>
      <c r="J47" s="22"/>
      <c r="K47" s="22"/>
      <c r="L47" s="22"/>
      <c r="M47" s="22"/>
      <c r="N47" s="22"/>
      <c r="O47" s="22"/>
      <c r="P47" s="22"/>
      <c r="Q47" s="22"/>
      <c r="R47" s="22"/>
    </row>
    <row r="48" spans="1:3" ht="15">
      <c r="A48" s="28"/>
      <c r="B48" s="28"/>
      <c r="C48" s="29"/>
    </row>
    <row r="49" spans="1:3" ht="15">
      <c r="A49" s="22" t="s">
        <v>132</v>
      </c>
      <c r="B49" s="22" t="s">
        <v>48</v>
      </c>
      <c r="C49" s="66">
        <v>0.02</v>
      </c>
    </row>
    <row r="50" spans="1:3" ht="15">
      <c r="A50" s="44" t="s">
        <v>133</v>
      </c>
      <c r="B50" s="44" t="s">
        <v>65</v>
      </c>
      <c r="C50" s="55">
        <f>C49*(C47+C45+C42+C40+C36+C32+C27+C20+C12)</f>
        <v>33.33360166666667</v>
      </c>
    </row>
    <row r="51" ht="15">
      <c r="C51" s="55"/>
    </row>
    <row r="52" spans="1:3" ht="15">
      <c r="A52" t="s">
        <v>63</v>
      </c>
      <c r="B52" t="s">
        <v>48</v>
      </c>
      <c r="C52" s="66">
        <v>0.15</v>
      </c>
    </row>
    <row r="53" spans="1:3" ht="15">
      <c r="A53" s="28" t="s">
        <v>64</v>
      </c>
      <c r="B53" s="28" t="s">
        <v>65</v>
      </c>
      <c r="C53" s="29">
        <f>C52*(C47+C45+C42+C40+C36+C32+C27+C20+C12)</f>
        <v>250.00201249999998</v>
      </c>
    </row>
    <row r="54" ht="15">
      <c r="C54" s="29"/>
    </row>
    <row r="55" spans="1:3" ht="15">
      <c r="A55" s="67" t="s">
        <v>66</v>
      </c>
      <c r="B55" s="67" t="s">
        <v>65</v>
      </c>
      <c r="C55" s="56">
        <f>C12+C20+C27+C32+C36+C40+C42+C45+C47+C50+C53</f>
        <v>1950.0156975</v>
      </c>
    </row>
    <row r="56" spans="1:3" ht="15">
      <c r="A56" s="67"/>
      <c r="B56" s="67" t="s">
        <v>67</v>
      </c>
      <c r="C56" s="57">
        <f>C55/C16</f>
        <v>3.900031395</v>
      </c>
    </row>
  </sheetData>
  <sheetProtection selectLockedCells="1" selectUnlockedCells="1"/>
  <dataValidations count="1">
    <dataValidation type="list" allowBlank="1" showErrorMessage="1" sqref="C15 C17">
      <formula1>'Kosten van het planten'!$M$17:$N$17</formula1>
      <formula2>0</formula2>
    </dataValidation>
  </dataValidations>
  <printOptions/>
  <pageMargins left="0.7" right="0.7" top="0.75" bottom="0.75" header="0.5118055555555555" footer="0.511805555555555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X49"/>
  <sheetViews>
    <sheetView zoomScalePageLayoutView="0" workbookViewId="0" topLeftCell="A1">
      <selection activeCell="A4" sqref="A4"/>
    </sheetView>
  </sheetViews>
  <sheetFormatPr defaultColWidth="9.140625" defaultRowHeight="15"/>
  <cols>
    <col min="1" max="1" width="63.421875" style="0" customWidth="1"/>
    <col min="3" max="3" width="14.00390625" style="0" customWidth="1"/>
    <col min="4" max="4" width="5.00390625" style="0" customWidth="1"/>
    <col min="10" max="10" width="10.00390625" style="0" customWidth="1"/>
  </cols>
  <sheetData>
    <row r="1" spans="1:5" s="17" customFormat="1" ht="27" customHeight="1">
      <c r="A1" s="85" t="s">
        <v>7</v>
      </c>
      <c r="B1" s="16"/>
      <c r="C1" s="16"/>
      <c r="D1" s="20"/>
      <c r="E1" s="20"/>
    </row>
    <row r="2" spans="1:5" s="17" customFormat="1" ht="15">
      <c r="A2" s="16" t="s">
        <v>8</v>
      </c>
      <c r="B2" s="16"/>
      <c r="C2" s="16"/>
      <c r="D2" s="20"/>
      <c r="E2" s="20"/>
    </row>
    <row r="4" ht="15">
      <c r="A4" t="s">
        <v>148</v>
      </c>
    </row>
    <row r="6" spans="1:3" ht="15">
      <c r="A6" s="24" t="s">
        <v>33</v>
      </c>
      <c r="B6" s="25" t="s">
        <v>34</v>
      </c>
      <c r="C6" s="26" t="s">
        <v>35</v>
      </c>
    </row>
    <row r="8" spans="1:3" ht="15">
      <c r="A8" t="s">
        <v>36</v>
      </c>
      <c r="B8" t="s">
        <v>12</v>
      </c>
      <c r="C8" s="21">
        <f>'Kosten van het planten'!C8</f>
        <v>2000000000</v>
      </c>
    </row>
    <row r="9" spans="1:3" ht="15">
      <c r="A9" t="s">
        <v>37</v>
      </c>
      <c r="B9" t="s">
        <v>15</v>
      </c>
      <c r="C9" s="21">
        <f>'Kosten van het planten'!C9</f>
        <v>60</v>
      </c>
    </row>
    <row r="11" spans="1:3" ht="15">
      <c r="A11" t="s">
        <v>68</v>
      </c>
      <c r="B11" t="s">
        <v>12</v>
      </c>
      <c r="C11" s="21">
        <f>C8/C9</f>
        <v>33333333.333333332</v>
      </c>
    </row>
    <row r="12" spans="1:3" ht="15">
      <c r="A12" t="s">
        <v>69</v>
      </c>
      <c r="B12" t="s">
        <v>70</v>
      </c>
      <c r="C12" s="21">
        <f>'Inleiding en kerngegevens'!C15</f>
        <v>46</v>
      </c>
    </row>
    <row r="13" spans="1:3" ht="15">
      <c r="A13" t="s">
        <v>71</v>
      </c>
      <c r="B13" t="s">
        <v>12</v>
      </c>
      <c r="C13" s="45">
        <f>C11/C12</f>
        <v>724637.6811594203</v>
      </c>
    </row>
    <row r="15" spans="1:3" ht="15">
      <c r="A15" t="s">
        <v>163</v>
      </c>
      <c r="C15" s="46">
        <f>C13*'Kosten van het planten'!C14</f>
        <v>181159420.28985506</v>
      </c>
    </row>
    <row r="16" spans="1:3" ht="15">
      <c r="A16" t="s">
        <v>72</v>
      </c>
      <c r="C16" s="46">
        <f>C13*'Kosten van het planten'!C16</f>
        <v>362318840.5797101</v>
      </c>
    </row>
    <row r="18" spans="1:3" ht="15">
      <c r="A18" t="s">
        <v>73</v>
      </c>
      <c r="B18" t="s">
        <v>74</v>
      </c>
      <c r="C18" s="30">
        <v>5</v>
      </c>
    </row>
    <row r="19" spans="1:3" ht="15">
      <c r="A19" t="s">
        <v>75</v>
      </c>
      <c r="B19" t="s">
        <v>76</v>
      </c>
      <c r="C19" s="30">
        <v>8</v>
      </c>
    </row>
    <row r="20" spans="1:3" ht="15">
      <c r="A20" t="s">
        <v>164</v>
      </c>
      <c r="C20" s="46">
        <f>C15/C18</f>
        <v>36231884.057971016</v>
      </c>
    </row>
    <row r="22" spans="1:3" ht="15">
      <c r="A22" t="s">
        <v>77</v>
      </c>
      <c r="B22" t="s">
        <v>76</v>
      </c>
      <c r="C22" s="30">
        <v>12</v>
      </c>
    </row>
    <row r="23" spans="1:3" ht="15">
      <c r="A23" t="s">
        <v>78</v>
      </c>
      <c r="C23" s="30">
        <v>30</v>
      </c>
    </row>
    <row r="24" spans="1:3" ht="15">
      <c r="A24" t="s">
        <v>79</v>
      </c>
      <c r="C24" s="38">
        <f>C22*C23</f>
        <v>360</v>
      </c>
    </row>
    <row r="25" spans="1:3" ht="15">
      <c r="A25" t="s">
        <v>80</v>
      </c>
      <c r="C25" s="46">
        <f>ROUND(C20/C24,0)</f>
        <v>100644</v>
      </c>
    </row>
    <row r="26" spans="1:11" ht="15">
      <c r="A26" s="28" t="s">
        <v>81</v>
      </c>
      <c r="B26" s="28"/>
      <c r="C26" s="29">
        <f>ROUND(C25*C22/C19,0)</f>
        <v>150966</v>
      </c>
      <c r="K26" s="47"/>
    </row>
    <row r="28" spans="1:3" ht="15">
      <c r="A28" t="s">
        <v>165</v>
      </c>
      <c r="C28" s="30">
        <v>8</v>
      </c>
    </row>
    <row r="29" spans="1:3" ht="15">
      <c r="A29" t="s">
        <v>166</v>
      </c>
      <c r="C29" s="38">
        <f>C19*C28</f>
        <v>64</v>
      </c>
    </row>
    <row r="30" spans="1:3" ht="15">
      <c r="A30" s="28" t="s">
        <v>82</v>
      </c>
      <c r="B30" s="28"/>
      <c r="C30" s="29">
        <f>ROUND(C20/C29,0)</f>
        <v>566123</v>
      </c>
    </row>
    <row r="31" ht="15">
      <c r="A31" s="28"/>
    </row>
    <row r="32" spans="1:3" ht="15">
      <c r="A32" t="s">
        <v>167</v>
      </c>
      <c r="B32" s="28"/>
      <c r="C32" s="30">
        <v>100</v>
      </c>
    </row>
    <row r="33" spans="1:3" ht="15">
      <c r="A33" s="28" t="s">
        <v>83</v>
      </c>
      <c r="B33" s="28"/>
      <c r="C33" s="48">
        <f>((C15/C18)/C32)/C19</f>
        <v>45289.85507246377</v>
      </c>
    </row>
    <row r="34" spans="2:3" ht="15">
      <c r="B34" s="28"/>
      <c r="C34" s="29"/>
    </row>
    <row r="35" spans="1:24" ht="15">
      <c r="A35" t="s">
        <v>168</v>
      </c>
      <c r="B35" s="32"/>
      <c r="C35" s="30">
        <v>20</v>
      </c>
      <c r="E35" s="42" t="s">
        <v>162</v>
      </c>
      <c r="F35" s="42"/>
      <c r="G35" s="42"/>
      <c r="H35" s="42"/>
      <c r="I35" s="42"/>
      <c r="J35" s="42"/>
      <c r="K35" s="42"/>
      <c r="L35" s="42"/>
      <c r="M35" s="42"/>
      <c r="N35" s="42"/>
      <c r="O35" s="22"/>
      <c r="P35" s="22"/>
      <c r="Q35" s="22"/>
      <c r="R35" s="22"/>
      <c r="S35" s="22"/>
      <c r="T35" s="22"/>
      <c r="U35" s="22"/>
      <c r="V35" s="22"/>
      <c r="W35" s="22"/>
      <c r="X35" s="22"/>
    </row>
    <row r="36" spans="1:3" ht="15">
      <c r="A36" s="28" t="s">
        <v>84</v>
      </c>
      <c r="B36" s="28"/>
      <c r="C36" s="29">
        <f>((C15/C18)/C35)/C19</f>
        <v>226449.27536231885</v>
      </c>
    </row>
    <row r="38" spans="1:3" ht="15">
      <c r="A38" t="s">
        <v>85</v>
      </c>
      <c r="B38" t="s">
        <v>76</v>
      </c>
      <c r="C38" s="30">
        <v>8</v>
      </c>
    </row>
    <row r="39" spans="1:3" ht="15">
      <c r="A39" t="s">
        <v>86</v>
      </c>
      <c r="B39" t="s">
        <v>12</v>
      </c>
      <c r="C39" s="46">
        <f>C13/C18</f>
        <v>144927.53623188406</v>
      </c>
    </row>
    <row r="40" spans="1:3" ht="15">
      <c r="A40" s="28" t="s">
        <v>87</v>
      </c>
      <c r="C40" s="29">
        <f>(C39*C38)/C19</f>
        <v>144927.53623188406</v>
      </c>
    </row>
    <row r="42" spans="1:3" ht="15">
      <c r="A42" t="s">
        <v>63</v>
      </c>
      <c r="B42" t="s">
        <v>48</v>
      </c>
      <c r="C42" s="69">
        <v>0.15</v>
      </c>
    </row>
    <row r="43" spans="1:3" ht="15">
      <c r="A43" s="28" t="s">
        <v>88</v>
      </c>
      <c r="B43" s="28"/>
      <c r="C43" s="29">
        <f>ROUND(C42*(C36+C33+C30+C26),0)</f>
        <v>148324</v>
      </c>
    </row>
    <row r="44" spans="1:3" ht="15">
      <c r="A44" s="28"/>
      <c r="B44" s="28"/>
      <c r="C44" s="29"/>
    </row>
    <row r="45" spans="1:3" ht="15">
      <c r="A45" s="28" t="s">
        <v>89</v>
      </c>
      <c r="B45" s="28"/>
      <c r="C45" s="30">
        <v>35</v>
      </c>
    </row>
    <row r="47" spans="1:3" ht="15">
      <c r="A47" s="28" t="s">
        <v>90</v>
      </c>
      <c r="B47" s="28"/>
      <c r="C47" s="68">
        <f>'Management werkdiagram'!C28*('Inleiding en kerngegevens'!C11/'Management werkdiagram'!C7)</f>
        <v>5800000</v>
      </c>
    </row>
    <row r="49" spans="1:3" ht="15">
      <c r="A49" s="67" t="s">
        <v>91</v>
      </c>
      <c r="B49" s="67"/>
      <c r="C49" s="70">
        <f>C47+C43+C40+C36+C33+C30+C26</f>
        <v>7082079.666666667</v>
      </c>
    </row>
  </sheetData>
  <sheetProtection selectLockedCells="1" selectUnlockedCells="1"/>
  <printOptions/>
  <pageMargins left="0.7" right="0.7" top="0.75" bottom="0.75" header="0.5118055555555555" footer="0.5118055555555555"/>
  <pageSetup horizontalDpi="300" verticalDpi="3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A1:G32"/>
  <sheetViews>
    <sheetView zoomScalePageLayoutView="0" workbookViewId="0" topLeftCell="A1">
      <selection activeCell="A4" sqref="A4"/>
    </sheetView>
  </sheetViews>
  <sheetFormatPr defaultColWidth="9.140625" defaultRowHeight="15"/>
  <cols>
    <col min="1" max="1" width="64.421875" style="0" customWidth="1"/>
    <col min="2" max="2" width="17.57421875" style="0" customWidth="1"/>
    <col min="3" max="3" width="13.421875" style="0" customWidth="1"/>
    <col min="4" max="4" width="4.421875" style="0" customWidth="1"/>
  </cols>
  <sheetData>
    <row r="1" spans="1:5" s="17" customFormat="1" ht="27" customHeight="1">
      <c r="A1" s="16" t="s">
        <v>7</v>
      </c>
      <c r="B1" s="16"/>
      <c r="C1" s="16"/>
      <c r="D1" s="20"/>
      <c r="E1" s="20"/>
    </row>
    <row r="2" spans="1:5" s="17" customFormat="1" ht="15">
      <c r="A2" s="16" t="s">
        <v>8</v>
      </c>
      <c r="B2" s="16"/>
      <c r="C2" s="16"/>
      <c r="D2" s="20"/>
      <c r="E2" s="20"/>
    </row>
    <row r="4" ht="15">
      <c r="A4" t="s">
        <v>149</v>
      </c>
    </row>
    <row r="6" spans="1:3" ht="15">
      <c r="A6" s="24" t="s">
        <v>33</v>
      </c>
      <c r="B6" s="25" t="s">
        <v>34</v>
      </c>
      <c r="C6" s="26" t="s">
        <v>35</v>
      </c>
    </row>
    <row r="8" spans="1:3" ht="15">
      <c r="A8" t="s">
        <v>169</v>
      </c>
      <c r="B8" t="s">
        <v>70</v>
      </c>
      <c r="C8" s="30">
        <v>52</v>
      </c>
    </row>
    <row r="10" spans="1:3" ht="15">
      <c r="A10" t="s">
        <v>92</v>
      </c>
      <c r="B10" t="s">
        <v>93</v>
      </c>
      <c r="C10" s="30">
        <v>400</v>
      </c>
    </row>
    <row r="11" spans="1:3" ht="15">
      <c r="A11" t="s">
        <v>94</v>
      </c>
      <c r="B11" t="s">
        <v>93</v>
      </c>
      <c r="C11" s="30">
        <v>200</v>
      </c>
    </row>
    <row r="13" spans="1:3" ht="15">
      <c r="A13" t="s">
        <v>95</v>
      </c>
      <c r="B13" s="49">
        <v>0.5</v>
      </c>
      <c r="C13" s="38">
        <f>C8*B13</f>
        <v>26</v>
      </c>
    </row>
    <row r="15" ht="15">
      <c r="G15" s="61"/>
    </row>
    <row r="16" spans="1:3" ht="15">
      <c r="A16" t="s">
        <v>96</v>
      </c>
      <c r="C16" s="46">
        <f>Werkgelegenheid!C16</f>
        <v>362318840.5797101</v>
      </c>
    </row>
    <row r="17" spans="1:3" ht="15">
      <c r="A17" t="s">
        <v>97</v>
      </c>
      <c r="B17" s="35">
        <v>0.1</v>
      </c>
      <c r="C17" s="46">
        <f>C16*B17</f>
        <v>36231884.057971016</v>
      </c>
    </row>
    <row r="18" spans="1:3" ht="15">
      <c r="A18" t="s">
        <v>98</v>
      </c>
      <c r="C18" s="46">
        <f>C16+C17</f>
        <v>398550724.6376811</v>
      </c>
    </row>
    <row r="20" spans="1:3" ht="15">
      <c r="A20" t="s">
        <v>99</v>
      </c>
      <c r="B20" t="s">
        <v>29</v>
      </c>
      <c r="C20" s="46">
        <f>C18/C10</f>
        <v>996376.8115942028</v>
      </c>
    </row>
    <row r="21" spans="1:3" ht="15">
      <c r="A21" t="s">
        <v>100</v>
      </c>
      <c r="B21" t="s">
        <v>29</v>
      </c>
      <c r="C21" s="50">
        <f>C20*C13</f>
        <v>25905797.101449274</v>
      </c>
    </row>
    <row r="23" spans="1:3" ht="15">
      <c r="A23" t="s">
        <v>101</v>
      </c>
      <c r="B23" t="s">
        <v>29</v>
      </c>
      <c r="C23" s="46">
        <f>C18/C11</f>
        <v>1992753.6231884055</v>
      </c>
    </row>
    <row r="24" spans="1:3" ht="15">
      <c r="A24" t="s">
        <v>102</v>
      </c>
      <c r="B24" t="s">
        <v>29</v>
      </c>
      <c r="C24" s="50">
        <f>(C8-C13)*C23</f>
        <v>51811594.20289855</v>
      </c>
    </row>
    <row r="26" spans="1:3" ht="15">
      <c r="A26" t="s">
        <v>103</v>
      </c>
      <c r="B26" t="s">
        <v>29</v>
      </c>
      <c r="C26" s="46">
        <f>C24+C21</f>
        <v>77717391.30434781</v>
      </c>
    </row>
    <row r="27" spans="1:3" ht="15">
      <c r="A27" t="s">
        <v>142</v>
      </c>
      <c r="B27" s="35">
        <v>0.15</v>
      </c>
      <c r="C27" s="46">
        <f>C26*B27</f>
        <v>11657608.695652172</v>
      </c>
    </row>
    <row r="28" spans="2:3" ht="15">
      <c r="B28" s="71"/>
      <c r="C28" s="46"/>
    </row>
    <row r="29" spans="1:5" ht="15">
      <c r="A29" s="67" t="s">
        <v>104</v>
      </c>
      <c r="B29" s="72" t="s">
        <v>29</v>
      </c>
      <c r="C29" s="70">
        <f>SUM(C26:C27)</f>
        <v>89374999.99999999</v>
      </c>
      <c r="E29" s="19" t="s">
        <v>105</v>
      </c>
    </row>
    <row r="32" ht="15">
      <c r="A32" s="22"/>
    </row>
  </sheetData>
  <sheetProtection selectLockedCells="1" selectUnlockedCells="1"/>
  <printOptions/>
  <pageMargins left="0.7" right="0.7" top="0.75" bottom="0.75" header="0.5118055555555555" footer="0.5118055555555555"/>
  <pageSetup horizontalDpi="300" verticalDpi="3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H28"/>
  <sheetViews>
    <sheetView zoomScalePageLayoutView="0" workbookViewId="0" topLeftCell="A1">
      <selection activeCell="A5" sqref="A5"/>
    </sheetView>
  </sheetViews>
  <sheetFormatPr defaultColWidth="9.140625" defaultRowHeight="15"/>
  <cols>
    <col min="1" max="1" width="16.28125" style="0" customWidth="1"/>
    <col min="2" max="2" width="71.57421875" style="0" customWidth="1"/>
    <col min="3" max="3" width="10.57421875" style="0" bestFit="1" customWidth="1"/>
    <col min="4" max="4" width="13.421875" style="0" customWidth="1"/>
  </cols>
  <sheetData>
    <row r="1" spans="1:7" ht="27" customHeight="1">
      <c r="A1" s="51" t="s">
        <v>106</v>
      </c>
      <c r="B1" s="86" t="s">
        <v>145</v>
      </c>
      <c r="C1" s="51"/>
      <c r="D1" s="51"/>
      <c r="E1" s="51"/>
      <c r="F1" s="51"/>
      <c r="G1" s="51"/>
    </row>
    <row r="2" spans="1:7" ht="15">
      <c r="A2" s="16"/>
      <c r="B2" s="16"/>
      <c r="C2" s="16"/>
      <c r="D2" s="16"/>
      <c r="E2" s="16"/>
      <c r="F2" s="16"/>
      <c r="G2" s="16"/>
    </row>
    <row r="4" ht="15">
      <c r="B4" t="s">
        <v>147</v>
      </c>
    </row>
    <row r="5" spans="2:3" ht="15">
      <c r="B5" t="s">
        <v>107</v>
      </c>
      <c r="C5" s="23"/>
    </row>
    <row r="6" ht="15.75" thickBot="1">
      <c r="C6" s="58"/>
    </row>
    <row r="7" spans="2:3" ht="15.75" thickBot="1">
      <c r="B7" s="22" t="s">
        <v>137</v>
      </c>
      <c r="C7" s="83">
        <v>10000</v>
      </c>
    </row>
    <row r="9" spans="2:8" ht="15">
      <c r="B9" s="24" t="s">
        <v>108</v>
      </c>
      <c r="C9" s="24" t="s">
        <v>109</v>
      </c>
      <c r="D9" s="24" t="s">
        <v>110</v>
      </c>
      <c r="E9" s="24" t="s">
        <v>111</v>
      </c>
      <c r="F9" s="24"/>
      <c r="G9" s="24" t="s">
        <v>112</v>
      </c>
      <c r="H9" s="24" t="s">
        <v>111</v>
      </c>
    </row>
    <row r="10" spans="2:8" ht="15">
      <c r="B10" t="s">
        <v>113</v>
      </c>
      <c r="C10" s="77">
        <v>1</v>
      </c>
      <c r="D10" s="52">
        <v>52000</v>
      </c>
      <c r="E10" s="21">
        <f>C10*D10</f>
        <v>52000</v>
      </c>
      <c r="F10" s="78">
        <v>1</v>
      </c>
      <c r="G10" s="52">
        <v>16000</v>
      </c>
      <c r="H10" s="59">
        <f>F10*G10</f>
        <v>16000</v>
      </c>
    </row>
    <row r="11" spans="2:8" ht="15">
      <c r="B11" t="s">
        <v>114</v>
      </c>
      <c r="C11" s="77">
        <v>1</v>
      </c>
      <c r="D11" s="52">
        <v>52000</v>
      </c>
      <c r="E11" s="21">
        <f aca="true" t="shared" si="0" ref="E11:E25">C11*D11</f>
        <v>52000</v>
      </c>
      <c r="F11" s="78">
        <v>1</v>
      </c>
      <c r="G11" s="52">
        <v>16000</v>
      </c>
      <c r="H11" s="59">
        <f>F11*G11</f>
        <v>16000</v>
      </c>
    </row>
    <row r="12" spans="2:8" ht="15">
      <c r="B12" t="s">
        <v>115</v>
      </c>
      <c r="C12" s="77">
        <v>0</v>
      </c>
      <c r="D12" s="52">
        <v>52000</v>
      </c>
      <c r="E12" s="21">
        <f t="shared" si="0"/>
        <v>0</v>
      </c>
      <c r="F12" s="78">
        <v>0</v>
      </c>
      <c r="G12" s="52">
        <v>16000</v>
      </c>
      <c r="H12" s="21">
        <f>C12*G12</f>
        <v>0</v>
      </c>
    </row>
    <row r="13" spans="2:8" ht="15">
      <c r="B13" t="s">
        <v>116</v>
      </c>
      <c r="C13" s="77">
        <v>1</v>
      </c>
      <c r="D13" s="52">
        <v>30000</v>
      </c>
      <c r="E13" s="21">
        <f t="shared" si="0"/>
        <v>30000</v>
      </c>
      <c r="F13" s="78">
        <v>1</v>
      </c>
      <c r="G13" s="52">
        <v>16000</v>
      </c>
      <c r="H13" s="59">
        <f aca="true" t="shared" si="1" ref="H13:H25">F13*G13</f>
        <v>16000</v>
      </c>
    </row>
    <row r="14" spans="2:8" ht="15">
      <c r="B14" t="s">
        <v>117</v>
      </c>
      <c r="C14" s="77">
        <v>1</v>
      </c>
      <c r="D14" s="52">
        <v>26000</v>
      </c>
      <c r="E14" s="21">
        <f t="shared" si="0"/>
        <v>26000</v>
      </c>
      <c r="F14" s="78">
        <v>1</v>
      </c>
      <c r="G14" s="52">
        <v>9000</v>
      </c>
      <c r="H14" s="59">
        <f t="shared" si="1"/>
        <v>9000</v>
      </c>
    </row>
    <row r="15" spans="2:8" ht="15">
      <c r="B15" t="s">
        <v>118</v>
      </c>
      <c r="C15" s="77">
        <v>1</v>
      </c>
      <c r="D15" s="52">
        <v>26000</v>
      </c>
      <c r="E15" s="21">
        <f t="shared" si="0"/>
        <v>26000</v>
      </c>
      <c r="F15" s="78">
        <v>1</v>
      </c>
      <c r="G15" s="52">
        <v>9000</v>
      </c>
      <c r="H15" s="59">
        <f t="shared" si="1"/>
        <v>9000</v>
      </c>
    </row>
    <row r="16" spans="2:8" ht="15">
      <c r="B16" t="s">
        <v>119</v>
      </c>
      <c r="C16" s="77">
        <v>1</v>
      </c>
      <c r="D16" s="52">
        <v>26000</v>
      </c>
      <c r="E16" s="21">
        <f t="shared" si="0"/>
        <v>26000</v>
      </c>
      <c r="F16" s="78">
        <v>0</v>
      </c>
      <c r="G16" s="52">
        <v>9000</v>
      </c>
      <c r="H16" s="59">
        <f t="shared" si="1"/>
        <v>0</v>
      </c>
    </row>
    <row r="17" spans="2:8" ht="15">
      <c r="B17" t="s">
        <v>120</v>
      </c>
      <c r="C17" s="77">
        <v>1</v>
      </c>
      <c r="D17" s="52">
        <v>52000</v>
      </c>
      <c r="E17" s="21">
        <f t="shared" si="0"/>
        <v>52000</v>
      </c>
      <c r="F17" s="78">
        <v>1</v>
      </c>
      <c r="G17" s="52">
        <v>9000</v>
      </c>
      <c r="H17" s="59">
        <f t="shared" si="1"/>
        <v>9000</v>
      </c>
    </row>
    <row r="18" spans="2:8" ht="15">
      <c r="B18" t="s">
        <v>121</v>
      </c>
      <c r="C18" s="77">
        <v>1</v>
      </c>
      <c r="D18" s="52">
        <v>52000</v>
      </c>
      <c r="E18" s="21">
        <f t="shared" si="0"/>
        <v>52000</v>
      </c>
      <c r="F18" s="78">
        <v>1</v>
      </c>
      <c r="G18" s="52">
        <v>9000</v>
      </c>
      <c r="H18" s="59">
        <f t="shared" si="1"/>
        <v>9000</v>
      </c>
    </row>
    <row r="19" spans="2:8" ht="15">
      <c r="B19" t="s">
        <v>122</v>
      </c>
      <c r="C19" s="77">
        <v>1</v>
      </c>
      <c r="D19" s="52">
        <v>26000</v>
      </c>
      <c r="E19" s="21">
        <f t="shared" si="0"/>
        <v>26000</v>
      </c>
      <c r="F19" s="78">
        <v>1</v>
      </c>
      <c r="G19" s="52">
        <v>9000</v>
      </c>
      <c r="H19" s="59">
        <f t="shared" si="1"/>
        <v>9000</v>
      </c>
    </row>
    <row r="20" spans="2:8" ht="15">
      <c r="B20" t="s">
        <v>123</v>
      </c>
      <c r="C20" s="77">
        <v>1</v>
      </c>
      <c r="D20" s="52">
        <v>26000</v>
      </c>
      <c r="E20" s="21">
        <f t="shared" si="0"/>
        <v>26000</v>
      </c>
      <c r="F20" s="78">
        <v>1</v>
      </c>
      <c r="G20" s="52">
        <v>9000</v>
      </c>
      <c r="H20" s="59">
        <f t="shared" si="1"/>
        <v>9000</v>
      </c>
    </row>
    <row r="21" spans="2:8" ht="15">
      <c r="B21" t="s">
        <v>124</v>
      </c>
      <c r="C21" s="77">
        <v>1</v>
      </c>
      <c r="D21" s="52">
        <v>26000</v>
      </c>
      <c r="E21" s="21">
        <f t="shared" si="0"/>
        <v>26000</v>
      </c>
      <c r="F21" s="78">
        <v>1</v>
      </c>
      <c r="G21" s="52">
        <v>9000</v>
      </c>
      <c r="H21" s="59">
        <f t="shared" si="1"/>
        <v>9000</v>
      </c>
    </row>
    <row r="22" spans="2:8" ht="15">
      <c r="B22" t="s">
        <v>125</v>
      </c>
      <c r="C22" s="77">
        <v>1</v>
      </c>
      <c r="D22" s="52">
        <v>26000</v>
      </c>
      <c r="E22" s="21">
        <f t="shared" si="0"/>
        <v>26000</v>
      </c>
      <c r="F22" s="78">
        <v>1</v>
      </c>
      <c r="G22" s="52">
        <v>9000</v>
      </c>
      <c r="H22" s="59">
        <f t="shared" si="1"/>
        <v>9000</v>
      </c>
    </row>
    <row r="23" spans="2:8" ht="15">
      <c r="B23" t="s">
        <v>126</v>
      </c>
      <c r="C23" s="77">
        <v>1</v>
      </c>
      <c r="D23" s="52">
        <v>26000</v>
      </c>
      <c r="E23" s="21">
        <f t="shared" si="0"/>
        <v>26000</v>
      </c>
      <c r="F23" s="78">
        <v>0</v>
      </c>
      <c r="G23" s="52">
        <v>9000</v>
      </c>
      <c r="H23" s="59">
        <f t="shared" si="1"/>
        <v>0</v>
      </c>
    </row>
    <row r="24" spans="2:8" ht="15">
      <c r="B24" t="s">
        <v>127</v>
      </c>
      <c r="C24" s="77">
        <v>0</v>
      </c>
      <c r="D24" s="52">
        <v>52000</v>
      </c>
      <c r="E24" s="21">
        <f t="shared" si="0"/>
        <v>0</v>
      </c>
      <c r="F24" s="78">
        <v>0</v>
      </c>
      <c r="G24" s="52">
        <v>9000</v>
      </c>
      <c r="H24" s="59">
        <f t="shared" si="1"/>
        <v>0</v>
      </c>
    </row>
    <row r="25" spans="2:8" ht="15">
      <c r="B25" t="s">
        <v>128</v>
      </c>
      <c r="C25" s="77">
        <v>3</v>
      </c>
      <c r="D25" s="52">
        <v>14400</v>
      </c>
      <c r="E25" s="21">
        <f t="shared" si="0"/>
        <v>43200</v>
      </c>
      <c r="F25" s="78">
        <v>2</v>
      </c>
      <c r="G25" s="52">
        <v>9000</v>
      </c>
      <c r="H25" s="59">
        <f t="shared" si="1"/>
        <v>18000</v>
      </c>
    </row>
    <row r="26" spans="2:8" ht="15">
      <c r="B26" t="s">
        <v>129</v>
      </c>
      <c r="C26" s="22">
        <f>SUM(C10:C25)</f>
        <v>16</v>
      </c>
      <c r="D26" s="80"/>
      <c r="E26" s="21">
        <f>SUM(E10:E25)</f>
        <v>489200</v>
      </c>
      <c r="F26" s="59">
        <f>SUM(F10:F25)</f>
        <v>13</v>
      </c>
      <c r="G26" s="60"/>
      <c r="H26" s="21">
        <f>SUM(H10:H25)</f>
        <v>138000</v>
      </c>
    </row>
    <row r="27" spans="2:8" ht="15">
      <c r="B27" t="s">
        <v>63</v>
      </c>
      <c r="C27" s="69">
        <v>0.15</v>
      </c>
      <c r="D27" s="80"/>
      <c r="E27" s="21">
        <f>E26*C27</f>
        <v>73380</v>
      </c>
      <c r="F27" s="76">
        <v>0.15</v>
      </c>
      <c r="G27" s="79"/>
      <c r="H27" s="21">
        <f>H26*F27</f>
        <v>20700</v>
      </c>
    </row>
    <row r="28" spans="2:8" ht="15">
      <c r="B28" s="67" t="s">
        <v>130</v>
      </c>
      <c r="C28" s="73">
        <f>C26+F26</f>
        <v>29</v>
      </c>
      <c r="D28" s="74"/>
      <c r="E28" s="75">
        <f>SUM(E26:E27)</f>
        <v>562580</v>
      </c>
      <c r="F28" s="75"/>
      <c r="G28" s="72"/>
      <c r="H28" s="75">
        <f>SUM(H26:H27)</f>
        <v>158700</v>
      </c>
    </row>
  </sheetData>
  <sheetProtection selectLockedCells="1" selectUnlockedCells="1"/>
  <printOptions/>
  <pageMargins left="0.7" right="0.7" top="0.75" bottom="0.75" header="0.5118055555555555" footer="0.511805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hoff2</dc:creator>
  <cp:keywords/>
  <dc:description/>
  <cp:lastModifiedBy>Celine</cp:lastModifiedBy>
  <dcterms:created xsi:type="dcterms:W3CDTF">2014-07-21T14:08:56Z</dcterms:created>
  <dcterms:modified xsi:type="dcterms:W3CDTF">2015-03-21T07:52:00Z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