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360" windowHeight="7785" tabRatio="907" activeTab="0"/>
  </bookViews>
  <sheets>
    <sheet name="Front page" sheetId="1" r:id="rId1"/>
    <sheet name="Notes and Assumptions" sheetId="2" r:id="rId2"/>
    <sheet name="Input and Output" sheetId="3" r:id="rId3"/>
    <sheet name="Workings" sheetId="4" r:id="rId4"/>
    <sheet name="Portfolio" sheetId="5" r:id="rId5"/>
    <sheet name="Sensitivity Analysis" sheetId="6" r:id="rId6"/>
    <sheet name="Annex 1 - Timber prices" sheetId="7" r:id="rId7"/>
    <sheet name="Annex 2 - Bushes harvest prices" sheetId="8" r:id="rId8"/>
    <sheet name="Annex 3 - Carbon credit prices" sheetId="9" r:id="rId9"/>
    <sheet name="Annex 4 - FCF" sheetId="10" r:id="rId10"/>
    <sheet name="Annex 5 - Plant scheme" sheetId="11" r:id="rId11"/>
    <sheet name="Annex 6 - Employment" sheetId="12" r:id="rId12"/>
  </sheets>
  <definedNames>
    <definedName name="_xlnm.Print_Area" localSheetId="6">'Annex 1 - Timber prices'!$A$8:$M$38</definedName>
    <definedName name="_xlnm.Print_Area" localSheetId="7">'Annex 2 - Bushes harvest prices'!$A$11:$M$42</definedName>
    <definedName name="_xlnm.Print_Area" localSheetId="8">'Annex 3 - Carbon credit prices'!$A$8:$M$38</definedName>
    <definedName name="_xlnm.Print_Area" localSheetId="11">'Annex 6 - Employment'!$A$25:$K$115</definedName>
    <definedName name="_xlnm.Print_Area" localSheetId="0">'Front page'!$A$1:$A$27</definedName>
    <definedName name="_xlnm.Print_Area" localSheetId="2">'Input and Output'!$A$1:$C$186</definedName>
    <definedName name="_xlnm.Print_Area" localSheetId="5">'Sensitivity Analysis'!$A$1:$F$74</definedName>
    <definedName name="_xlnm.Print_Titles" localSheetId="2">'Input and Output'!$1:$2</definedName>
  </definedNames>
  <calcPr fullCalcOnLoad="1"/>
</workbook>
</file>

<file path=xl/comments12.xml><?xml version="1.0" encoding="utf-8"?>
<comments xmlns="http://schemas.openxmlformats.org/spreadsheetml/2006/main">
  <authors>
    <author>BPPassPort User</author>
  </authors>
  <commentList>
    <comment ref="L17" authorId="0">
      <text>
        <r>
          <rPr>
            <b/>
            <sz val="8"/>
            <rFont val="Tahoma"/>
            <family val="2"/>
          </rPr>
          <t>FSC admin prior to first harvest</t>
        </r>
      </text>
    </comment>
  </commentList>
</comments>
</file>

<file path=xl/comments3.xml><?xml version="1.0" encoding="utf-8"?>
<comments xmlns="http://schemas.openxmlformats.org/spreadsheetml/2006/main">
  <authors>
    <author>Hoff</author>
  </authors>
  <commentList>
    <comment ref="A39" authorId="0">
      <text>
        <r>
          <rPr>
            <b/>
            <sz val="9"/>
            <rFont val="Tahoma"/>
            <family val="2"/>
          </rPr>
          <t>This service can be done by our Preferred Supplier Forestry Service Group. Thery can do the Feasability Study and the organization and management of planting the projects.
www.forestryservicegroup.com or
marco@nvforest.com</t>
        </r>
        <r>
          <rPr>
            <sz val="9"/>
            <rFont val="Tahoma"/>
            <family val="2"/>
          </rPr>
          <t xml:space="preserve">
</t>
        </r>
      </text>
    </comment>
    <comment ref="E39" authorId="0">
      <text>
        <r>
          <rPr>
            <b/>
            <sz val="9"/>
            <rFont val="Tahoma"/>
            <family val="2"/>
          </rPr>
          <t>This service can be done by our Preferred Supplier Forestry Service Group. Thery can do the Feasability Study and the organization and management of planting the projects.
www.forestryservicegroup.com or
marco@nvforest.com</t>
        </r>
        <r>
          <rPr>
            <sz val="9"/>
            <rFont val="Tahoma"/>
            <family val="2"/>
          </rPr>
          <t xml:space="preserve">
</t>
        </r>
      </text>
    </comment>
    <comment ref="A100" authorId="0">
      <text>
        <r>
          <rPr>
            <b/>
            <sz val="9"/>
            <rFont val="Tahoma"/>
            <family val="2"/>
          </rPr>
          <t>The choice of varieties will define the value of the wood once harvesting. You can ask the service of our Preferred Supplier to help you selecting them. Look at www.voorderhaak.nl or mail 
dirkv@voorderhaak.nl</t>
        </r>
        <r>
          <rPr>
            <sz val="9"/>
            <rFont val="Tahoma"/>
            <family val="2"/>
          </rPr>
          <t xml:space="preserve">
</t>
        </r>
      </text>
    </comment>
    <comment ref="E100" authorId="0">
      <text>
        <r>
          <rPr>
            <b/>
            <sz val="9"/>
            <rFont val="Tahoma"/>
            <family val="2"/>
          </rPr>
          <t>The choice of varieties will define the value of the wood once harvesting. You can ask the service of our Preferred Supplier to help you selecting them. Look at www.voorderhaak.nl or mail 
dirkv@voorderhaak.nl</t>
        </r>
        <r>
          <rPr>
            <sz val="9"/>
            <rFont val="Tahoma"/>
            <family val="2"/>
          </rPr>
          <t xml:space="preserve">
</t>
        </r>
      </text>
    </comment>
  </commentList>
</comments>
</file>

<file path=xl/sharedStrings.xml><?xml version="1.0" encoding="utf-8"?>
<sst xmlns="http://schemas.openxmlformats.org/spreadsheetml/2006/main" count="694" uniqueCount="404">
  <si>
    <t>Number of ha</t>
  </si>
  <si>
    <t>Number of trees planted</t>
  </si>
  <si>
    <t>Number of bushes planted</t>
  </si>
  <si>
    <t>Payback</t>
  </si>
  <si>
    <t>NPV</t>
  </si>
  <si>
    <t>IRR</t>
  </si>
  <si>
    <t>Tax</t>
  </si>
  <si>
    <t>Corporate tax</t>
  </si>
  <si>
    <t>Number of trees per ha</t>
  </si>
  <si>
    <t>Number of bushes per ha</t>
  </si>
  <si>
    <t>Annual depreciation</t>
  </si>
  <si>
    <t>m3</t>
  </si>
  <si>
    <t>Land lease</t>
  </si>
  <si>
    <t>Debt</t>
  </si>
  <si>
    <t>Equity</t>
  </si>
  <si>
    <t>Government grant</t>
  </si>
  <si>
    <t>Cost of capital</t>
  </si>
  <si>
    <t>Principal (size of loan)</t>
  </si>
  <si>
    <t>Tenor (loan duration)</t>
  </si>
  <si>
    <t>Grace period (how many years free of repayment)</t>
  </si>
  <si>
    <t>Debt cost (fixed rate)</t>
  </si>
  <si>
    <t>Arrangement and committment fees</t>
  </si>
  <si>
    <t>Book depreciation, years</t>
  </si>
  <si>
    <t>Size of grant</t>
  </si>
  <si>
    <t>Planting in year</t>
  </si>
  <si>
    <t>Annual inflation rate - costs</t>
  </si>
  <si>
    <t>minutes</t>
  </si>
  <si>
    <t>Costprice labour</t>
  </si>
  <si>
    <t>Overhead and management</t>
  </si>
  <si>
    <t>years</t>
  </si>
  <si>
    <t>OUTPUT</t>
  </si>
  <si>
    <t>Units</t>
  </si>
  <si>
    <t>%</t>
  </si>
  <si>
    <t>INPUT</t>
  </si>
  <si>
    <t>Currency</t>
  </si>
  <si>
    <t>USD</t>
  </si>
  <si>
    <t>Investment</t>
  </si>
  <si>
    <t>Depreciation method</t>
  </si>
  <si>
    <t>linear</t>
  </si>
  <si>
    <t xml:space="preserve">Depreciation </t>
  </si>
  <si>
    <t>Project dates and currency</t>
  </si>
  <si>
    <t>year</t>
  </si>
  <si>
    <t>O&amp;M costs</t>
  </si>
  <si>
    <t>tonnes/ha</t>
  </si>
  <si>
    <t>USD/ha</t>
  </si>
  <si>
    <t>USD/m3</t>
  </si>
  <si>
    <t>yes</t>
  </si>
  <si>
    <t>no</t>
  </si>
  <si>
    <t xml:space="preserve">t of CO2 </t>
  </si>
  <si>
    <t>Equity investment</t>
  </si>
  <si>
    <t>Cash flow</t>
  </si>
  <si>
    <t>Total</t>
  </si>
  <si>
    <t>year of operation</t>
  </si>
  <si>
    <t>freehold</t>
  </si>
  <si>
    <t>leasehold</t>
  </si>
  <si>
    <t>Cost of land (if freehold)</t>
  </si>
  <si>
    <t>Investment costs</t>
  </si>
  <si>
    <t>kUSD</t>
  </si>
  <si>
    <t>USD/box</t>
  </si>
  <si>
    <t>USD/tree</t>
  </si>
  <si>
    <t>Income</t>
  </si>
  <si>
    <t>Total investment costs</t>
  </si>
  <si>
    <t>Total income</t>
  </si>
  <si>
    <t>Free cash flow</t>
  </si>
  <si>
    <t>Total O&amp;M costs</t>
  </si>
  <si>
    <t>Planting costs trees</t>
  </si>
  <si>
    <t>Planting costs bushes</t>
  </si>
  <si>
    <t>Single value</t>
  </si>
  <si>
    <t>Discounted FCF</t>
  </si>
  <si>
    <t>Harvest from trees and bushes</t>
  </si>
  <si>
    <t>USD/kg</t>
  </si>
  <si>
    <t>kg</t>
  </si>
  <si>
    <t>Start of planting</t>
  </si>
  <si>
    <t>Capital employed</t>
  </si>
  <si>
    <t>currently not included, working with 100% equity assumption</t>
  </si>
  <si>
    <t>Cumulative FCF (not discounted)</t>
  </si>
  <si>
    <t>Pieter Hoff</t>
  </si>
  <si>
    <t>phoff@aquaproholland.com</t>
  </si>
  <si>
    <t>+31 654 340 410</t>
  </si>
  <si>
    <t>Planting material bushes (sapling/nut/seed)</t>
  </si>
  <si>
    <t>Planting material trees (sapling/nut/seed)</t>
  </si>
  <si>
    <t>Labour needed to plant 1 tree or bush</t>
  </si>
  <si>
    <t>USD/bush</t>
  </si>
  <si>
    <t>USD/tree or bush</t>
  </si>
  <si>
    <t>USD/yr</t>
  </si>
  <si>
    <t>Tonnes of CO2 captured over project lifetime</t>
  </si>
  <si>
    <t>Amount of timber remaining for last harvest</t>
  </si>
  <si>
    <t>Annual production per bush after first harvest</t>
  </si>
  <si>
    <t>Trees - first partial harvest</t>
  </si>
  <si>
    <t>Trees - final harvest</t>
  </si>
  <si>
    <t>Trees - second partial harvest</t>
  </si>
  <si>
    <t>Trees - third partial harvest</t>
  </si>
  <si>
    <t>% of trees</t>
  </si>
  <si>
    <t>Cost of land - freehold</t>
  </si>
  <si>
    <t>Land lease - leasehold</t>
  </si>
  <si>
    <t>Bushes - annual harvesting</t>
  </si>
  <si>
    <t>Number of Groasis waterboxes needed</t>
  </si>
  <si>
    <t>Amount of trees harvested in first harvest</t>
  </si>
  <si>
    <t>Amount of trees harvested in second harvest</t>
  </si>
  <si>
    <t>Amount of trees harvested in third harvest</t>
  </si>
  <si>
    <t>Timber production per tree in last harvest</t>
  </si>
  <si>
    <t>Timber production per tree in first harvest</t>
  </si>
  <si>
    <t>Timber production per tree in second harvest</t>
  </si>
  <si>
    <t>Timber production per tree in third harvest</t>
  </si>
  <si>
    <t>Last timber harvest in year</t>
  </si>
  <si>
    <t>Indexation of timber prices - annual</t>
  </si>
  <si>
    <t>Indexation of bushes harvest prices - annual</t>
  </si>
  <si>
    <t>bushes harvest price (USD/kg)</t>
  </si>
  <si>
    <t>Taxable income</t>
  </si>
  <si>
    <t>Total Tax</t>
  </si>
  <si>
    <t>Bushes - annual harvest</t>
  </si>
  <si>
    <t>Labour needed to remove 1 waterbox</t>
  </si>
  <si>
    <t>Removing of waterboxes in year</t>
  </si>
  <si>
    <t>Removal of waterboxes</t>
  </si>
  <si>
    <t>Costprice labour to remove 1 waterbox</t>
  </si>
  <si>
    <t>USD/waterbox</t>
  </si>
  <si>
    <t>Number of m2 per tree/bush</t>
  </si>
  <si>
    <t>m2</t>
  </si>
  <si>
    <t>Energy cost for planting / removing</t>
  </si>
  <si>
    <t>Payback (break even)</t>
  </si>
  <si>
    <t>% per year</t>
  </si>
  <si>
    <t>Value of land at end of project</t>
  </si>
  <si>
    <t>Location of project</t>
  </si>
  <si>
    <t>Africa</t>
  </si>
  <si>
    <t>USD/ha/yr</t>
  </si>
  <si>
    <t>Value of land</t>
  </si>
  <si>
    <t>Waterboxes residual value</t>
  </si>
  <si>
    <t>Increase of production per bush after first harvest</t>
  </si>
  <si>
    <t>USD/day</t>
  </si>
  <si>
    <t>Total cost waterbox removal</t>
  </si>
  <si>
    <t>Total cost waterbox removal per ha</t>
  </si>
  <si>
    <t>VER: 3-6 EUR / CER: 11-13 EUR</t>
  </si>
  <si>
    <t>adaptation levy and project governance</t>
  </si>
  <si>
    <t>monitoring, verification, certification</t>
  </si>
  <si>
    <t>search, negotiation, approval, registration costs</t>
  </si>
  <si>
    <t>Net Present Value (NPV)</t>
  </si>
  <si>
    <t>Internal Rate of Return (IRR)</t>
  </si>
  <si>
    <t>Ownership type of land</t>
  </si>
  <si>
    <t>Legend</t>
  </si>
  <si>
    <t>2 trees, planted in 1 waterbox</t>
  </si>
  <si>
    <t>2 bushes, planted in 1 waterbox</t>
  </si>
  <si>
    <t>Costprice labour to plant 1 trees or bush</t>
  </si>
  <si>
    <t>Total cost per ha for trees (trees + planting)</t>
  </si>
  <si>
    <t>Total cost per ha for bushes (bushes + planting)</t>
  </si>
  <si>
    <t>Total cost per tree</t>
  </si>
  <si>
    <t>Total cost per bush</t>
  </si>
  <si>
    <t>Under VCS 20% of credits needs to be stored to cover risks</t>
  </si>
  <si>
    <t>Amount of credits that can be sold</t>
  </si>
  <si>
    <t>CO2 absorption per year</t>
  </si>
  <si>
    <t>Tropics 15 tonnes/ha; moderate 5 tonnes/ha</t>
  </si>
  <si>
    <t>Carbon Credits (CDM / VER)</t>
  </si>
  <si>
    <t>Start of Carbon credits revenue</t>
  </si>
  <si>
    <t>Carbon credits included</t>
  </si>
  <si>
    <t>Indexation of carbon prices</t>
  </si>
  <si>
    <t>Carbon - Project lifetime control costs (only if carbon = yes)</t>
  </si>
  <si>
    <t>Carbon - Project lifetime admin costs (only if carbon = yes)</t>
  </si>
  <si>
    <t>Carbon - Upfront verification costs (only if carbon = yes)</t>
  </si>
  <si>
    <t>Carbon - Upfront admin costs (only if carbon = yes)</t>
  </si>
  <si>
    <t>PDD and validation costs, approx EUR 0,04/credit to be paid upfront</t>
  </si>
  <si>
    <t>price yr 25</t>
  </si>
  <si>
    <t>Carbon - Project lifetime admin costs (only if CDM = yes)</t>
  </si>
  <si>
    <t>Carbon - Project lifetime control costs (only if CDM = yes)</t>
  </si>
  <si>
    <t>Carbon credits income</t>
  </si>
  <si>
    <t>USD/tonne</t>
  </si>
  <si>
    <t>USD/credit</t>
  </si>
  <si>
    <t>planting scheme available in Annex 5</t>
  </si>
  <si>
    <t>for project:</t>
  </si>
  <si>
    <t>FSC - Project lifetime admin and control costs</t>
  </si>
  <si>
    <t>Land preparation cost</t>
  </si>
  <si>
    <t>Custodial management cost</t>
  </si>
  <si>
    <t>installing property boundaries, security, road construction, legal fees</t>
  </si>
  <si>
    <t>Custodial management</t>
  </si>
  <si>
    <t>Land preparation</t>
  </si>
  <si>
    <t>Carbon - Upfront admin (only if CDM = yes)</t>
  </si>
  <si>
    <t>Carbon - Upfront control (only if CDM = yes)</t>
  </si>
  <si>
    <t>Equipment cost per ha for planting / removing</t>
  </si>
  <si>
    <t>includes fertilization / fire protection / timber cruising and marking / insect and disease detection and treatment. Assumption: 1 person maintains 10ha, includes cost for tools</t>
  </si>
  <si>
    <t>O&amp;M costs (annual cost)</t>
  </si>
  <si>
    <t xml:space="preserve">Last hardwood harvest in year </t>
  </si>
  <si>
    <t xml:space="preserve">FSC - Admin cost (certificate) </t>
  </si>
  <si>
    <t xml:space="preserve">FSC - Project lifetime admin and control costs </t>
  </si>
  <si>
    <t>Softwood - Timber price in year of planting</t>
  </si>
  <si>
    <t>Hardwood - Timber price in year of planting</t>
  </si>
  <si>
    <t>Maintenance cost trees and bushes - year 2-8</t>
  </si>
  <si>
    <t>Baseline study</t>
  </si>
  <si>
    <t>FSC - Admin in year before first harvest</t>
  </si>
  <si>
    <t>annual, from year of first timber harvest</t>
  </si>
  <si>
    <t>of which softwood</t>
  </si>
  <si>
    <t xml:space="preserve">of which hardwood </t>
  </si>
  <si>
    <t>softwood only</t>
  </si>
  <si>
    <t>partial harvest (thinning)</t>
  </si>
  <si>
    <t>Harvesting cost timber - harvest until yr 20</t>
  </si>
  <si>
    <t>hardwood only</t>
  </si>
  <si>
    <t>Trees - first interim harvest</t>
  </si>
  <si>
    <t>First interim timber harvest in year</t>
  </si>
  <si>
    <t>Second interim timber harvest in year</t>
  </si>
  <si>
    <t>Third interim timber harvest in year</t>
  </si>
  <si>
    <t>Trees - second interim harvest</t>
  </si>
  <si>
    <t>Trees - third interim harvest</t>
  </si>
  <si>
    <t>price yr 35</t>
  </si>
  <si>
    <t>production yr 35</t>
  </si>
  <si>
    <t>Survival rate trees - after planting</t>
  </si>
  <si>
    <t>Survival rate trees - after first harvest</t>
  </si>
  <si>
    <t>Survival rate trees - after second harvest</t>
  </si>
  <si>
    <t>Amount of timber not harvested due to death of trees</t>
  </si>
  <si>
    <t>hardwood timber price (USD/m3)</t>
  </si>
  <si>
    <t>softwood timber price (USD/m3)</t>
  </si>
  <si>
    <t>Groasis waterbox ownership model</t>
  </si>
  <si>
    <t>purchase</t>
  </si>
  <si>
    <t>Groasis waterbox cost</t>
  </si>
  <si>
    <t>lease</t>
  </si>
  <si>
    <t xml:space="preserve">Residual value of waterbox </t>
  </si>
  <si>
    <t>harvested in interim harvests</t>
  </si>
  <si>
    <t>lower quality of interim harvest 1 and 2</t>
  </si>
  <si>
    <t>harvest of all remaining trees</t>
  </si>
  <si>
    <t>Price discount of timber of interim harvest 1 and 2</t>
  </si>
  <si>
    <t>Financial structure NOT INCLUDED</t>
  </si>
  <si>
    <t>Depreciation NOT INCLUDED</t>
  </si>
  <si>
    <t xml:space="preserve">First bushes (fruit/nuts) harvest in year </t>
  </si>
  <si>
    <t>2667 trees / ha</t>
  </si>
  <si>
    <t>1333 bushes / ha</t>
  </si>
  <si>
    <t>in year before first timber harvest, including consultancy to apply for FSC</t>
  </si>
  <si>
    <t>5% of remaining trees die / get damaged after first harvest</t>
  </si>
  <si>
    <t>5% of remaining trees die / get damaged after second harvest</t>
  </si>
  <si>
    <t>First bushes harvest (fruit/nuts) in year</t>
  </si>
  <si>
    <t>Waterbox costs for trees</t>
  </si>
  <si>
    <t>Waterbox costs for bushes</t>
  </si>
  <si>
    <t>Harvesting cost bushes annual production (fruit/nuts)</t>
  </si>
  <si>
    <t>Unforeseen</t>
  </si>
  <si>
    <t>Employment</t>
  </si>
  <si>
    <t>hr</t>
  </si>
  <si>
    <t>Planting</t>
  </si>
  <si>
    <t>FTE</t>
  </si>
  <si>
    <t>Harvesting of bushes (fruit/nuts)</t>
  </si>
  <si>
    <t>Waterbox removal</t>
  </si>
  <si>
    <t>maintenance of property boundaries, security, road maintenance, legal fees (to prevent illegal logging / theft of harvest)</t>
  </si>
  <si>
    <t>salary, office, travel, etc</t>
  </si>
  <si>
    <t>Maintenance - year 2-8</t>
  </si>
  <si>
    <t>Maintenance - year 8 onwards</t>
  </si>
  <si>
    <t>assumption: 1 person harvests 1ha in 35 days, includes cost for tools - just for annual harvest of fruit / nuts / etc</t>
  </si>
  <si>
    <t>Harvesting of trees (timber) - first interim harvest</t>
  </si>
  <si>
    <t>Harvesting of trees (timber) - second interim harvest</t>
  </si>
  <si>
    <t>Harvesting of trees (timber) - third interim harvest</t>
  </si>
  <si>
    <t>Harvesting of trees (timber) - final harvest</t>
  </si>
  <si>
    <t>FSC - Project lifetime admin and control</t>
  </si>
  <si>
    <t>Carbon - Project lifetime admin and control</t>
  </si>
  <si>
    <t>Carbon - Upfront admin and verification costs</t>
  </si>
  <si>
    <t>In year 1</t>
  </si>
  <si>
    <t>Over project lifetime (yr 2 - 35)</t>
  </si>
  <si>
    <t>Total employment generated over project lifetime</t>
  </si>
  <si>
    <t>Cost per tonne of CO2 (investment only)</t>
  </si>
  <si>
    <t>Financial model for reforestation projects</t>
  </si>
  <si>
    <t>Category</t>
  </si>
  <si>
    <t>Europe</t>
  </si>
  <si>
    <t>Annual inflation rate costs</t>
  </si>
  <si>
    <t>value</t>
  </si>
  <si>
    <t>fix cost</t>
  </si>
  <si>
    <t>days</t>
  </si>
  <si>
    <t>USA</t>
  </si>
  <si>
    <r>
      <t>This sheet lists the values which are market</t>
    </r>
    <r>
      <rPr>
        <sz val="10"/>
        <color indexed="10"/>
        <rFont val="Calibri"/>
        <family val="2"/>
      </rPr>
      <t xml:space="preserve"> red </t>
    </r>
    <r>
      <rPr>
        <sz val="10"/>
        <rFont val="Calibri"/>
        <family val="2"/>
      </rPr>
      <t>in the Input and Output sheet.</t>
    </r>
  </si>
  <si>
    <t>Region</t>
  </si>
  <si>
    <t>Employment generated for 35 years (average)</t>
  </si>
  <si>
    <t>Groasis waterbox discount</t>
  </si>
  <si>
    <t>waterboxes are used; 2 trees / 2 bushes planted in 1 box</t>
  </si>
  <si>
    <t>ASSUMPTIONS</t>
  </si>
  <si>
    <t>NOTES</t>
  </si>
  <si>
    <t>values marked in red are taken from the sheet 'Notes and Assumptions'; do not amend these cells.</t>
  </si>
  <si>
    <t>timber harvested by buyer, selection/marking and monitoring only</t>
  </si>
  <si>
    <t>OUTPUT - DETAIL</t>
  </si>
  <si>
    <t>Total (FTE)</t>
  </si>
  <si>
    <t>See also Annex 6</t>
  </si>
  <si>
    <t>Input and Output</t>
  </si>
  <si>
    <t>Workings</t>
  </si>
  <si>
    <t>Sheets</t>
  </si>
  <si>
    <t>Front page</t>
  </si>
  <si>
    <t>Cover page</t>
  </si>
  <si>
    <t>Notes and Assumptions</t>
  </si>
  <si>
    <t>Overview of key project information (financials, planning)</t>
  </si>
  <si>
    <t>Financial model</t>
  </si>
  <si>
    <t>Annex 1 - Timber prices</t>
  </si>
  <si>
    <t>Graphical presentation of development of timber prices over project duration</t>
  </si>
  <si>
    <t>Annex 2 - Bushes harvest prices</t>
  </si>
  <si>
    <t>Graphical presentation of development of bushes harvest prices over project duration</t>
  </si>
  <si>
    <t>Annex 4 - FCF</t>
  </si>
  <si>
    <t>Annex 5 - Plant scheme</t>
  </si>
  <si>
    <t>Annex 6 - Employment</t>
  </si>
  <si>
    <t>Carbon - Admin, verification and control</t>
  </si>
  <si>
    <t>FSC - Admin and control</t>
  </si>
  <si>
    <t>Guidance note and regional assumptions for cost and employment calculation</t>
  </si>
  <si>
    <t>Carbon credit prices (USD/credit)</t>
  </si>
  <si>
    <t>Annex 3 - Carbon credit prices</t>
  </si>
  <si>
    <t>Graphical presentation of development of carbon credit prices over project duration</t>
  </si>
  <si>
    <t>Graphical presentation of development of Free Cash Flow</t>
  </si>
  <si>
    <t>Graphical presentation of potential planting scheme for 1 ha</t>
  </si>
  <si>
    <t>Graphical presentation of manpower needed during project lifetime</t>
  </si>
  <si>
    <t>values marked in blue are calculated automatically; do not amend these cells.</t>
  </si>
  <si>
    <r>
      <t xml:space="preserve">Planting scheme </t>
    </r>
    <r>
      <rPr>
        <sz val="18"/>
        <rFont val="Calibri"/>
        <family val="2"/>
      </rPr>
      <t>(the grid below represents 1ha, 100m x 100m)</t>
    </r>
  </si>
  <si>
    <t>An activity in the target country exploring possibilities for investments in natural resources whilst taking into account the international demand for FSC, CDM, VCS, CCBS, Gold Standard, REDD and Biomass certification.
 The output is a detailed investment- and project plan describing steps needed to realise the project.</t>
  </si>
  <si>
    <t>Secondary employment generated (waterboxes, processing annual harvest / timber harvest / supply chain) - additional 50%</t>
  </si>
  <si>
    <t>site preparation</t>
  </si>
  <si>
    <t>discount if 20M waterboxes or more are needed</t>
  </si>
  <si>
    <t>including transport (excluding discount)</t>
  </si>
  <si>
    <t>terminal value (only applicable in purchase option)</t>
  </si>
  <si>
    <t>Tax loss carry forward</t>
  </si>
  <si>
    <t>Earnings before tax</t>
  </si>
  <si>
    <t>1carbon credit</t>
  </si>
  <si>
    <t>Carbon credit price</t>
  </si>
  <si>
    <t>10% of trees dies before first harvest</t>
  </si>
  <si>
    <t>Conservative</t>
  </si>
  <si>
    <t>Base case</t>
  </si>
  <si>
    <t>Optimistic</t>
  </si>
  <si>
    <t>No bushes planted</t>
  </si>
  <si>
    <t>&lt;-- select continent</t>
  </si>
  <si>
    <t>&lt;-- select annual lease or buying land</t>
  </si>
  <si>
    <t>&lt;-- select lease or purchase</t>
  </si>
  <si>
    <t>&lt;-- select yes / no</t>
  </si>
  <si>
    <t>SENSITIVITY ANALYSIS</t>
  </si>
  <si>
    <t>Annual production increase</t>
  </si>
  <si>
    <t>Timber production harvest 1 (m3/tree)</t>
  </si>
  <si>
    <t>Timber production harvest 2 (m3/tree)</t>
  </si>
  <si>
    <t>Timber production harvest 3 (m3/tree)</t>
  </si>
  <si>
    <t>Timber production last harvest (m3/tree)</t>
  </si>
  <si>
    <t>Indexation of product prices</t>
  </si>
  <si>
    <t>assumes no bushes planted, no harvest</t>
  </si>
  <si>
    <t>Project size</t>
  </si>
  <si>
    <t>Project duration</t>
  </si>
  <si>
    <t>ha</t>
  </si>
  <si>
    <t>Tax rate</t>
  </si>
  <si>
    <t>average FTE/yr for 35 years</t>
  </si>
  <si>
    <t>of</t>
  </si>
  <si>
    <t>ha freehold land / leasing the waterbox.</t>
  </si>
  <si>
    <t>Base case: Assumes a project in</t>
  </si>
  <si>
    <t>Costprice labour (USD/day)</t>
  </si>
  <si>
    <t>Price of softwood, year 25 (USD/m3)</t>
  </si>
  <si>
    <t>Price of hardwood, year 35 (USD/m3)</t>
  </si>
  <si>
    <t>Indexation of carbon credit prices - annual</t>
  </si>
  <si>
    <t>Start price (USD/credit)</t>
  </si>
  <si>
    <t>Price in year 25 (USD/credit)</t>
  </si>
  <si>
    <t>Production in year of first harvest (kg)</t>
  </si>
  <si>
    <t>Price of product in year 1 (USD/kg)</t>
  </si>
  <si>
    <t>This document is a template with assumptions</t>
  </si>
  <si>
    <t>Please ensure that the assumptions are correct for your specific project</t>
  </si>
  <si>
    <t>© Wout Hoff</t>
  </si>
  <si>
    <t>In the 'sensitivity analysis' the columns 'conservative' and 'optimistic' are not interactive. Only the column 'base' is interactive with 'input and output'</t>
  </si>
  <si>
    <t>NPV generated per tonne of CO2</t>
  </si>
  <si>
    <t>million USD</t>
  </si>
  <si>
    <t>million tonnes</t>
  </si>
  <si>
    <t>Secondary employment generated</t>
  </si>
  <si>
    <t>Scenario 1 - Biomass at harvest</t>
  </si>
  <si>
    <t>Scenario 2 - Development of timber prices</t>
  </si>
  <si>
    <t>Scenario 3 - Survival rate of trees</t>
  </si>
  <si>
    <t>Scenario 4 - Annual bushes harvest</t>
  </si>
  <si>
    <t>Scenario 5 - Development of carbon credit prices</t>
  </si>
  <si>
    <t>Scenario 6 - Labour cost</t>
  </si>
  <si>
    <t>Manpower required during project</t>
  </si>
  <si>
    <t>Model, calculations, values and assumptions have been validated by Forestry Service Group (www.forestryservicegroup.com)</t>
  </si>
  <si>
    <t>Maintenance year 2-8</t>
  </si>
  <si>
    <t>can use arid land rather than crop land</t>
  </si>
  <si>
    <t>in case of freehold option; land value increases due to increased fertility of soil</t>
  </si>
  <si>
    <t>harvested at end of project</t>
  </si>
  <si>
    <t>Maintenance from year 9</t>
  </si>
  <si>
    <t>Maintenance cost trees and bushes - from year 9</t>
  </si>
  <si>
    <t>Scenario 7 - Changes required to get NPV = 0</t>
  </si>
  <si>
    <t>scenario a)</t>
  </si>
  <si>
    <t>scenario b)</t>
  </si>
  <si>
    <t>the values to the left need to be amended to the values in the column to the right to get NPV = 0</t>
  </si>
  <si>
    <t>Changes to</t>
  </si>
  <si>
    <t>or</t>
  </si>
  <si>
    <t>Harvesting cost timber - harvest from yr 21</t>
  </si>
  <si>
    <t>Potential planting scheme for 1 ha</t>
  </si>
  <si>
    <t>Price of product harvested from bushes (at planting)</t>
  </si>
  <si>
    <t>The cost of capital is "the expected return on a portfolio of all the company's existing securities". For an investment to be worthwhile, the expected return on capital must be greater than the cost of capital. The cost of capital is the rate of return that capital could be expected to earn in an alternative investment of equivalent risk. If a project is of similar risk to a company's average business activities it is reasonable to use the company's average cost of capital as a basis for the evaluation.</t>
  </si>
  <si>
    <t>Net present value (NPV) is the total present value of a time series of cash flows; it measures the excess or shortfall of cash flows, in present value terms, once financing charges are met. NPV is an indicator of how much value an investment or project adds for the investor; it is an indicator of the value or magnitude of an investment.</t>
  </si>
  <si>
    <t xml:space="preserve">The internal rate of return (IRR) is a rate of return used to measure and compare the profitability of investments. The internal rate of return on an investment is the annualized effective compounded return rate that can be earned on the invested capital; it is the interest rate at which the costs of the investment lead to the benefits of the investment. This means that all gains from the investment are inherent to the time value of money and that the investment has a zero net present value at this interest rate. IRR is an indicator of the efficiency, quality, or yield of an investment.
</t>
  </si>
  <si>
    <t xml:space="preserve">Capital employed represents the capital investment necessary for the project.
</t>
  </si>
  <si>
    <t xml:space="preserve">Payback period refers to the period of time required for the return on an investment to "repay" the sum of the original investment (capital employed).
</t>
  </si>
  <si>
    <t>This is the amount of CO2 that is captured by the trees and bushes over the project lifetime - from planting until the final harvest.</t>
  </si>
  <si>
    <t>This is the cost per tonne of CO2 that is captured, calculated as (capital employed) divided by (tonnes of CO2 captured)</t>
  </si>
  <si>
    <t>This is the amount of NPV generated per tonne of CO2 captured, calculated as (NPV) divided by (tonnes of CO2 captured) - this shows that the project adds value unlike various other carbon offset/capture projects which do not represent a cash inflow (e.g. CSS, REDD).</t>
  </si>
  <si>
    <t>This is the amount of FTE needed (on average) over the project lifetime for planting, maintenance, harvesting, et cetera. A detailed breakdown can be found in the annexes.</t>
  </si>
  <si>
    <t>Read remark</t>
  </si>
  <si>
    <t>In the 'sensitivity analysis' the columns 'conservative' and 'optimistic' are not interactive. Only the column 'base case' is interactive with 'input and output'</t>
  </si>
  <si>
    <t>Project 1</t>
  </si>
  <si>
    <t>Project 2</t>
  </si>
  <si>
    <t>Project 3</t>
  </si>
  <si>
    <t>Project 4</t>
  </si>
  <si>
    <t>Project 5</t>
  </si>
  <si>
    <t>Project 6</t>
  </si>
  <si>
    <t>Project 7</t>
  </si>
  <si>
    <t>Project 8</t>
  </si>
  <si>
    <t>Project 9</t>
  </si>
  <si>
    <t>Project 10</t>
  </si>
  <si>
    <t>Waterbox investment</t>
  </si>
  <si>
    <t>FCF</t>
  </si>
  <si>
    <t>Portfolio model</t>
  </si>
  <si>
    <t>Total EBIT</t>
  </si>
  <si>
    <t>year of portfolio</t>
  </si>
  <si>
    <t>Cumulative FCF (not disc)</t>
  </si>
  <si>
    <t>Number of projects</t>
  </si>
  <si>
    <t>Portfolio</t>
  </si>
  <si>
    <t>1 Project</t>
  </si>
  <si>
    <t>Portfolio area in acre</t>
  </si>
  <si>
    <t>May 2010</t>
  </si>
  <si>
    <t>2 trees/bushes planted in 1 waterbox, 3 min needed for 1 waterbox</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</si>
</sst>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 numFmtId="188" formatCode="0.0"/>
    <numFmt numFmtId="189" formatCode="#,##0.0"/>
    <numFmt numFmtId="190" formatCode="_-* #,##0.0_-;\-* #,##0.0_-;_-* &quot;-&quot;??_-;_-@_-"/>
    <numFmt numFmtId="191" formatCode="_-* #,##0_-;\-* #,##0_-;_-* &quot;-&quot;??_-;_-@_-"/>
    <numFmt numFmtId="192" formatCode="mmm\-yyyy"/>
    <numFmt numFmtId="193" formatCode="_-* #,##0.000_-;\-* #,##0.000_-;_-* &quot;-&quot;??_-;_-@_-"/>
    <numFmt numFmtId="194" formatCode="_-* #,##0.0000_-;\-* #,##0.0000_-;_-* &quot;-&quot;??_-;_-@_-"/>
    <numFmt numFmtId="195" formatCode="_-* #,##0.00000_-;\-* #,##0.00000_-;_-* &quot;-&quot;??_-;_-@_-"/>
    <numFmt numFmtId="196" formatCode="_-* #,##0.000000_-;\-* #,##0.000000_-;_-* &quot;-&quot;??_-;_-@_-"/>
    <numFmt numFmtId="197" formatCode="_(* #,##0.0_);_(* \(#,##0.0\);_(* &quot;-&quot;?_);_(@_)"/>
    <numFmt numFmtId="198" formatCode="0.000000"/>
    <numFmt numFmtId="199" formatCode="_(* #,##0.0_);_(* \(#,##0.0\);_(* &quot;-&quot;_);_(@_)"/>
    <numFmt numFmtId="200" formatCode="_(* #,##0.00_);_(* \(#,##0.00\);_(* &quot;-&quot;_);_(@_)"/>
    <numFmt numFmtId="201" formatCode="_-* #,##0.0_-;\-* #,##0.0_-;_-* &quot;-&quot;?_-;_-@_-"/>
    <numFmt numFmtId="202" formatCode="_-* #,##0.000_-;\-* #,##0.000_-;_-* &quot;-&quot;???_-;_-@_-"/>
    <numFmt numFmtId="203" formatCode="_(* #,##0_);_(* \(#,##0\);_(* &quot;-&quot;?_);_(@_)"/>
  </numFmts>
  <fonts count="90">
    <font>
      <sz val="10"/>
      <name val="Arial"/>
      <family val="0"/>
    </font>
    <font>
      <sz val="8"/>
      <name val="Arial"/>
      <family val="2"/>
    </font>
    <font>
      <sz val="10"/>
      <name val="Calibri"/>
      <family val="2"/>
    </font>
    <font>
      <sz val="10"/>
      <color indexed="9"/>
      <name val="Calibri"/>
      <family val="2"/>
    </font>
    <font>
      <sz val="10"/>
      <color indexed="62"/>
      <name val="Calibri"/>
      <family val="2"/>
    </font>
    <font>
      <i/>
      <sz val="10"/>
      <name val="Calibri"/>
      <family val="2"/>
    </font>
    <font>
      <u val="single"/>
      <sz val="10"/>
      <color indexed="12"/>
      <name val="Arial"/>
      <family val="2"/>
    </font>
    <font>
      <u val="single"/>
      <sz val="10"/>
      <color indexed="36"/>
      <name val="Arial"/>
      <family val="2"/>
    </font>
    <font>
      <sz val="12"/>
      <color indexed="9"/>
      <name val="Calibri"/>
      <family val="2"/>
    </font>
    <font>
      <u val="single"/>
      <sz val="12"/>
      <color indexed="9"/>
      <name val="Calibri"/>
      <family val="2"/>
    </font>
    <font>
      <sz val="12"/>
      <name val="Calibri"/>
      <family val="2"/>
    </font>
    <font>
      <b/>
      <sz val="10"/>
      <color indexed="10"/>
      <name val="Calibri"/>
      <family val="2"/>
    </font>
    <font>
      <b/>
      <i/>
      <sz val="24"/>
      <color indexed="9"/>
      <name val="Calibri"/>
      <family val="2"/>
    </font>
    <font>
      <sz val="24"/>
      <name val="Calibri"/>
      <family val="2"/>
    </font>
    <font>
      <b/>
      <sz val="10"/>
      <name val="Calibri"/>
      <family val="2"/>
    </font>
    <font>
      <sz val="10"/>
      <color indexed="12"/>
      <name val="Calibri"/>
      <family val="2"/>
    </font>
    <font>
      <sz val="8"/>
      <color indexed="22"/>
      <name val="Calibri"/>
      <family val="2"/>
    </font>
    <font>
      <sz val="8"/>
      <name val="Calibri"/>
      <family val="2"/>
    </font>
    <font>
      <sz val="8"/>
      <color indexed="9"/>
      <name val="Calibri"/>
      <family val="2"/>
    </font>
    <font>
      <b/>
      <sz val="8"/>
      <color indexed="9"/>
      <name val="Calibri"/>
      <family val="2"/>
    </font>
    <font>
      <b/>
      <sz val="8"/>
      <name val="Calibri"/>
      <family val="2"/>
    </font>
    <font>
      <sz val="8"/>
      <color indexed="16"/>
      <name val="Calibri"/>
      <family val="2"/>
    </font>
    <font>
      <b/>
      <sz val="8"/>
      <color indexed="16"/>
      <name val="Calibri"/>
      <family val="2"/>
    </font>
    <font>
      <u val="single"/>
      <sz val="10"/>
      <name val="Calibri"/>
      <family val="2"/>
    </font>
    <font>
      <sz val="10"/>
      <color indexed="10"/>
      <name val="Calibri"/>
      <family val="2"/>
    </font>
    <font>
      <b/>
      <sz val="10"/>
      <color indexed="9"/>
      <name val="Calibri"/>
      <family val="2"/>
    </font>
    <font>
      <sz val="8"/>
      <color indexed="12"/>
      <name val="Calibri"/>
      <family val="2"/>
    </font>
    <font>
      <b/>
      <u val="single"/>
      <sz val="10"/>
      <name val="Calibri"/>
      <family val="2"/>
    </font>
    <font>
      <b/>
      <sz val="10"/>
      <color indexed="12"/>
      <name val="Calibri"/>
      <family val="2"/>
    </font>
    <font>
      <b/>
      <sz val="8"/>
      <color indexed="12"/>
      <name val="Calibri"/>
      <family val="2"/>
    </font>
    <font>
      <b/>
      <sz val="10"/>
      <name val="Arial"/>
      <family val="2"/>
    </font>
    <font>
      <b/>
      <sz val="8"/>
      <name val="Tahoma"/>
      <family val="2"/>
    </font>
    <font>
      <sz val="18"/>
      <name val="Calibri"/>
      <family val="2"/>
    </font>
    <font>
      <b/>
      <sz val="18"/>
      <name val="Calibri"/>
      <family val="2"/>
    </font>
    <font>
      <sz val="10"/>
      <color indexed="17"/>
      <name val="Calibri"/>
      <family val="2"/>
    </font>
    <font>
      <i/>
      <sz val="10"/>
      <color indexed="17"/>
      <name val="Calibri"/>
      <family val="2"/>
    </font>
    <font>
      <b/>
      <u val="single"/>
      <sz val="10"/>
      <color indexed="17"/>
      <name val="Calibri"/>
      <family val="2"/>
    </font>
    <font>
      <b/>
      <sz val="10"/>
      <color indexed="17"/>
      <name val="Calibri"/>
      <family val="2"/>
    </font>
    <font>
      <sz val="9"/>
      <name val="Arial"/>
      <family val="2"/>
    </font>
    <font>
      <sz val="9"/>
      <name val="Tahoma"/>
      <family val="2"/>
    </font>
    <font>
      <b/>
      <sz val="9"/>
      <name val="Tahoma"/>
      <family val="2"/>
    </font>
    <font>
      <b/>
      <sz val="9"/>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5.25"/>
      <color indexed="8"/>
      <name val="Arial"/>
      <family val="2"/>
    </font>
    <font>
      <sz val="12"/>
      <color indexed="8"/>
      <name val="Calibri"/>
      <family val="2"/>
    </font>
    <font>
      <sz val="10.1"/>
      <color indexed="8"/>
      <name val="Calibri"/>
      <family val="2"/>
    </font>
    <font>
      <sz val="12"/>
      <color indexed="8"/>
      <name val="Arial"/>
      <family val="2"/>
    </font>
    <font>
      <sz val="15"/>
      <color indexed="8"/>
      <name val="Calibri"/>
      <family val="2"/>
    </font>
    <font>
      <sz val="10"/>
      <color indexed="8"/>
      <name val="Calibri"/>
      <family val="2"/>
    </font>
    <font>
      <b/>
      <sz val="10"/>
      <color indexed="8"/>
      <name val="Arial"/>
      <family val="2"/>
    </font>
    <font>
      <sz val="11"/>
      <color indexed="8"/>
      <name val="Arial"/>
      <family val="2"/>
    </font>
    <font>
      <sz val="14"/>
      <color indexed="8"/>
      <name val="Calibri"/>
      <family val="2"/>
    </font>
    <font>
      <sz val="16"/>
      <color indexed="8"/>
      <name val="Calibri"/>
      <family val="2"/>
    </font>
    <font>
      <sz val="18"/>
      <color indexed="8"/>
      <name val="Calibri"/>
      <family val="2"/>
    </font>
    <font>
      <sz val="13.5"/>
      <color indexed="8"/>
      <name val="Calibri"/>
      <family val="2"/>
    </font>
    <font>
      <sz val="9.5"/>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7"/>
        <bgColor indexed="64"/>
      </patternFill>
    </fill>
    <fill>
      <patternFill patternType="solid">
        <fgColor indexed="50"/>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0" borderId="3" applyNumberFormat="0" applyFill="0" applyAlignment="0" applyProtection="0"/>
    <xf numFmtId="0" fontId="7" fillId="0" borderId="0" applyNumberFormat="0" applyFill="0" applyBorder="0" applyAlignment="0" applyProtection="0"/>
    <xf numFmtId="0" fontId="77" fillId="28" borderId="0" applyNumberFormat="0" applyBorder="0" applyAlignment="0" applyProtection="0"/>
    <xf numFmtId="0" fontId="6" fillId="0" borderId="0" applyNumberFormat="0" applyFill="0" applyBorder="0" applyAlignment="0" applyProtection="0"/>
    <xf numFmtId="0" fontId="7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0" fillId="31" borderId="7" applyNumberFormat="0" applyFont="0" applyAlignment="0" applyProtection="0"/>
    <xf numFmtId="0" fontId="83" fillId="32"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cellStyleXfs>
  <cellXfs count="270">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Fill="1" applyAlignment="1">
      <alignment/>
    </xf>
    <xf numFmtId="0" fontId="3" fillId="33" borderId="0" xfId="0" applyFont="1" applyFill="1" applyAlignment="1">
      <alignment/>
    </xf>
    <xf numFmtId="0" fontId="3" fillId="34" borderId="0" xfId="0" applyFont="1" applyFill="1" applyAlignment="1">
      <alignment/>
    </xf>
    <xf numFmtId="0" fontId="3" fillId="33" borderId="0" xfId="0" applyFont="1" applyFill="1" applyAlignment="1">
      <alignment horizontal="center"/>
    </xf>
    <xf numFmtId="0" fontId="3" fillId="34" borderId="0" xfId="0" applyFont="1" applyFill="1" applyAlignment="1">
      <alignment horizontal="center"/>
    </xf>
    <xf numFmtId="0" fontId="3" fillId="33" borderId="0" xfId="0" applyFont="1" applyFill="1" applyBorder="1" applyAlignment="1">
      <alignment horizontal="center"/>
    </xf>
    <xf numFmtId="0" fontId="2" fillId="34" borderId="0" xfId="0" applyFont="1" applyFill="1" applyBorder="1" applyAlignment="1">
      <alignment/>
    </xf>
    <xf numFmtId="184" fontId="2" fillId="0" borderId="0" xfId="55" applyNumberFormat="1" applyFont="1" applyBorder="1" applyAlignment="1">
      <alignment/>
    </xf>
    <xf numFmtId="0" fontId="2" fillId="0" borderId="0" xfId="0" applyFont="1" applyBorder="1" applyAlignment="1">
      <alignment horizontal="right"/>
    </xf>
    <xf numFmtId="3" fontId="4" fillId="0" borderId="0" xfId="0" applyNumberFormat="1" applyFont="1" applyBorder="1" applyAlignment="1">
      <alignment/>
    </xf>
    <xf numFmtId="0" fontId="2" fillId="0" borderId="0" xfId="0" applyFont="1" applyAlignment="1">
      <alignment horizontal="center"/>
    </xf>
    <xf numFmtId="0" fontId="2" fillId="34" borderId="0" xfId="0" applyFont="1" applyFill="1" applyAlignment="1">
      <alignment horizontal="center"/>
    </xf>
    <xf numFmtId="171" fontId="2" fillId="0" borderId="0" xfId="46" applyFont="1" applyBorder="1" applyAlignment="1">
      <alignment/>
    </xf>
    <xf numFmtId="0" fontId="2" fillId="0" borderId="0" xfId="0" applyFont="1" applyFill="1" applyAlignment="1">
      <alignment horizontal="center"/>
    </xf>
    <xf numFmtId="0" fontId="2" fillId="35" borderId="0" xfId="0" applyFont="1" applyFill="1" applyBorder="1" applyAlignment="1">
      <alignment horizontal="center"/>
    </xf>
    <xf numFmtId="9" fontId="2" fillId="0" borderId="0" xfId="0" applyNumberFormat="1" applyFont="1" applyBorder="1" applyAlignment="1">
      <alignment/>
    </xf>
    <xf numFmtId="0" fontId="2" fillId="0" borderId="10"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3" fillId="0" borderId="0" xfId="0" applyFont="1" applyFill="1" applyAlignment="1">
      <alignment/>
    </xf>
    <xf numFmtId="0" fontId="2" fillId="0" borderId="11" xfId="0" applyFont="1" applyFill="1" applyBorder="1" applyAlignment="1">
      <alignment/>
    </xf>
    <xf numFmtId="3" fontId="2" fillId="35" borderId="0" xfId="0" applyNumberFormat="1" applyFont="1" applyFill="1" applyBorder="1" applyAlignment="1">
      <alignment horizontal="right"/>
    </xf>
    <xf numFmtId="0" fontId="3" fillId="34" borderId="0" xfId="0" applyFont="1" applyFill="1" applyBorder="1" applyAlignment="1">
      <alignment/>
    </xf>
    <xf numFmtId="0" fontId="3" fillId="0" borderId="0" xfId="0" applyFont="1" applyAlignment="1">
      <alignment/>
    </xf>
    <xf numFmtId="0" fontId="3" fillId="34" borderId="12" xfId="0" applyFont="1" applyFill="1" applyBorder="1" applyAlignment="1">
      <alignment horizontal="left"/>
    </xf>
    <xf numFmtId="0" fontId="3" fillId="34" borderId="11" xfId="0" applyFont="1" applyFill="1"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9" fontId="2" fillId="0" borderId="0" xfId="55" applyFont="1" applyBorder="1" applyAlignment="1">
      <alignment/>
    </xf>
    <xf numFmtId="171" fontId="0" fillId="0" borderId="13" xfId="46" applyBorder="1" applyAlignment="1">
      <alignment/>
    </xf>
    <xf numFmtId="0" fontId="5" fillId="0" borderId="0" xfId="0" applyFont="1" applyFill="1" applyAlignment="1">
      <alignment/>
    </xf>
    <xf numFmtId="0" fontId="2" fillId="36" borderId="0" xfId="0" applyFont="1" applyFill="1" applyAlignment="1">
      <alignment/>
    </xf>
    <xf numFmtId="0" fontId="2" fillId="36" borderId="0" xfId="0" applyFont="1" applyFill="1" applyAlignment="1">
      <alignment horizontal="center"/>
    </xf>
    <xf numFmtId="184" fontId="2" fillId="36" borderId="0" xfId="55" applyNumberFormat="1" applyFont="1" applyFill="1" applyBorder="1" applyAlignment="1">
      <alignment/>
    </xf>
    <xf numFmtId="3" fontId="2" fillId="36" borderId="0" xfId="0" applyNumberFormat="1" applyFont="1" applyFill="1" applyBorder="1" applyAlignment="1">
      <alignment/>
    </xf>
    <xf numFmtId="3" fontId="4" fillId="36" borderId="0" xfId="0" applyNumberFormat="1" applyFont="1" applyFill="1" applyBorder="1" applyAlignment="1">
      <alignment/>
    </xf>
    <xf numFmtId="0" fontId="2" fillId="36" borderId="0" xfId="0" applyFont="1" applyFill="1" applyBorder="1" applyAlignment="1">
      <alignment/>
    </xf>
    <xf numFmtId="0" fontId="2" fillId="36" borderId="0" xfId="0" applyFont="1" applyFill="1" applyBorder="1" applyAlignment="1">
      <alignment/>
    </xf>
    <xf numFmtId="184" fontId="2" fillId="36" borderId="0" xfId="0" applyNumberFormat="1" applyFont="1" applyFill="1" applyBorder="1" applyAlignment="1">
      <alignment/>
    </xf>
    <xf numFmtId="171" fontId="2" fillId="0" borderId="0" xfId="0" applyNumberFormat="1" applyFont="1" applyFill="1" applyAlignment="1">
      <alignment/>
    </xf>
    <xf numFmtId="184" fontId="2" fillId="0" borderId="0" xfId="0" applyNumberFormat="1" applyFont="1" applyBorder="1" applyAlignment="1">
      <alignment/>
    </xf>
    <xf numFmtId="0" fontId="5" fillId="0" borderId="0" xfId="0" applyFont="1" applyAlignment="1">
      <alignment/>
    </xf>
    <xf numFmtId="0" fontId="8" fillId="34" borderId="0" xfId="0" applyFont="1" applyFill="1" applyAlignment="1">
      <alignment horizontal="center"/>
    </xf>
    <xf numFmtId="0" fontId="9" fillId="34" borderId="0" xfId="44" applyFont="1" applyFill="1" applyAlignment="1" applyProtection="1">
      <alignment horizontal="center"/>
      <protection/>
    </xf>
    <xf numFmtId="0" fontId="8" fillId="34" borderId="0" xfId="0" applyFont="1" applyFill="1" applyAlignment="1" quotePrefix="1">
      <alignment horizontal="center"/>
    </xf>
    <xf numFmtId="0" fontId="10" fillId="34" borderId="0" xfId="0" applyFont="1" applyFill="1" applyAlignment="1">
      <alignment horizontal="center"/>
    </xf>
    <xf numFmtId="191" fontId="5" fillId="0" borderId="0" xfId="0" applyNumberFormat="1" applyFont="1" applyAlignment="1">
      <alignment/>
    </xf>
    <xf numFmtId="0" fontId="0" fillId="34" borderId="0" xfId="0" applyFill="1" applyAlignment="1">
      <alignment/>
    </xf>
    <xf numFmtId="1" fontId="2" fillId="0" borderId="0" xfId="0" applyNumberFormat="1" applyFont="1" applyBorder="1" applyAlignment="1">
      <alignment/>
    </xf>
    <xf numFmtId="0" fontId="11" fillId="0" borderId="0" xfId="0" applyFont="1" applyFill="1" applyAlignment="1">
      <alignment/>
    </xf>
    <xf numFmtId="2" fontId="5" fillId="0" borderId="0" xfId="0" applyNumberFormat="1" applyFont="1" applyFill="1" applyAlignment="1">
      <alignment/>
    </xf>
    <xf numFmtId="4" fontId="2" fillId="0" borderId="0" xfId="0" applyNumberFormat="1" applyFont="1" applyBorder="1" applyAlignment="1">
      <alignment/>
    </xf>
    <xf numFmtId="0" fontId="12" fillId="34" borderId="0" xfId="0" applyFont="1" applyFill="1" applyAlignment="1">
      <alignment horizontal="center" wrapText="1"/>
    </xf>
    <xf numFmtId="192" fontId="12" fillId="34" borderId="0" xfId="0" applyNumberFormat="1" applyFont="1" applyFill="1" applyAlignment="1">
      <alignment horizontal="center"/>
    </xf>
    <xf numFmtId="0" fontId="13" fillId="34" borderId="0" xfId="0" applyFont="1" applyFill="1" applyAlignment="1">
      <alignment horizontal="center"/>
    </xf>
    <xf numFmtId="191" fontId="2" fillId="0" borderId="13" xfId="46" applyNumberFormat="1" applyFont="1" applyFill="1" applyBorder="1" applyAlignment="1">
      <alignment/>
    </xf>
    <xf numFmtId="0" fontId="2" fillId="37" borderId="13" xfId="0" applyFont="1" applyFill="1" applyBorder="1" applyAlignment="1">
      <alignment/>
    </xf>
    <xf numFmtId="0" fontId="14" fillId="0" borderId="0" xfId="0" applyFont="1" applyAlignment="1">
      <alignment/>
    </xf>
    <xf numFmtId="2" fontId="5" fillId="0" borderId="13" xfId="0" applyNumberFormat="1" applyFont="1" applyFill="1" applyBorder="1" applyAlignment="1">
      <alignment/>
    </xf>
    <xf numFmtId="0" fontId="5" fillId="0" borderId="13" xfId="0" applyFont="1" applyBorder="1" applyAlignment="1">
      <alignment/>
    </xf>
    <xf numFmtId="0" fontId="5" fillId="37" borderId="13" xfId="0" applyFont="1" applyFill="1" applyBorder="1" applyAlignment="1">
      <alignment horizontal="right"/>
    </xf>
    <xf numFmtId="177" fontId="3" fillId="34" borderId="17" xfId="55" applyNumberFormat="1" applyFont="1" applyFill="1" applyBorder="1" applyAlignment="1">
      <alignment/>
    </xf>
    <xf numFmtId="184" fontId="3" fillId="34" borderId="17" xfId="55" applyNumberFormat="1" applyFont="1" applyFill="1" applyBorder="1" applyAlignment="1">
      <alignment/>
    </xf>
    <xf numFmtId="2" fontId="5" fillId="0" borderId="0" xfId="0" applyNumberFormat="1" applyFont="1" applyFill="1" applyBorder="1" applyAlignment="1">
      <alignment/>
    </xf>
    <xf numFmtId="0" fontId="5" fillId="0" borderId="0" xfId="0" applyFont="1" applyBorder="1" applyAlignment="1">
      <alignment/>
    </xf>
    <xf numFmtId="0" fontId="2" fillId="0" borderId="0" xfId="0" applyFont="1" applyAlignment="1">
      <alignment horizontal="left" indent="1"/>
    </xf>
    <xf numFmtId="189" fontId="2" fillId="0" borderId="0" xfId="0" applyNumberFormat="1" applyFont="1" applyBorder="1" applyAlignment="1">
      <alignment/>
    </xf>
    <xf numFmtId="3" fontId="15" fillId="0" borderId="0" xfId="0" applyNumberFormat="1" applyFont="1" applyBorder="1" applyAlignment="1">
      <alignment/>
    </xf>
    <xf numFmtId="189" fontId="15" fillId="0" borderId="0" xfId="0" applyNumberFormat="1" applyFont="1" applyBorder="1" applyAlignment="1">
      <alignment/>
    </xf>
    <xf numFmtId="4" fontId="15" fillId="0" borderId="0" xfId="0" applyNumberFormat="1" applyFont="1" applyBorder="1" applyAlignment="1">
      <alignment/>
    </xf>
    <xf numFmtId="2" fontId="15" fillId="0" borderId="0" xfId="0" applyNumberFormat="1" applyFont="1" applyBorder="1" applyAlignment="1">
      <alignment/>
    </xf>
    <xf numFmtId="1" fontId="15" fillId="0" borderId="0" xfId="0" applyNumberFormat="1" applyFont="1" applyBorder="1" applyAlignment="1">
      <alignment/>
    </xf>
    <xf numFmtId="9" fontId="15" fillId="0" borderId="0" xfId="0" applyNumberFormat="1" applyFont="1" applyBorder="1" applyAlignment="1">
      <alignment/>
    </xf>
    <xf numFmtId="191" fontId="15" fillId="0" borderId="0" xfId="46" applyNumberFormat="1" applyFont="1" applyBorder="1" applyAlignment="1">
      <alignment/>
    </xf>
    <xf numFmtId="9" fontId="15" fillId="0" borderId="0" xfId="55" applyNumberFormat="1" applyFont="1" applyBorder="1" applyAlignment="1">
      <alignment/>
    </xf>
    <xf numFmtId="0" fontId="16" fillId="0" borderId="0" xfId="0" applyFont="1" applyAlignment="1">
      <alignment horizontal="left"/>
    </xf>
    <xf numFmtId="0" fontId="17" fillId="0" borderId="0" xfId="0" applyFont="1" applyAlignment="1">
      <alignment horizontal="center"/>
    </xf>
    <xf numFmtId="0" fontId="16" fillId="0" borderId="0" xfId="0" applyFont="1" applyAlignment="1">
      <alignment horizontal="center"/>
    </xf>
    <xf numFmtId="0" fontId="18" fillId="0" borderId="0" xfId="0" applyFont="1" applyFill="1" applyAlignment="1">
      <alignment/>
    </xf>
    <xf numFmtId="0" fontId="17" fillId="0" borderId="0" xfId="0" applyFont="1" applyFill="1" applyAlignment="1">
      <alignment horizontal="center"/>
    </xf>
    <xf numFmtId="0" fontId="19" fillId="34" borderId="0" xfId="0" applyFont="1" applyFill="1" applyAlignment="1">
      <alignment horizontal="center"/>
    </xf>
    <xf numFmtId="0" fontId="19" fillId="0" borderId="0" xfId="0" applyFont="1" applyFill="1" applyAlignment="1">
      <alignment horizontal="center"/>
    </xf>
    <xf numFmtId="0" fontId="19" fillId="34" borderId="0" xfId="0" applyFont="1" applyFill="1" applyAlignment="1">
      <alignment/>
    </xf>
    <xf numFmtId="0" fontId="18" fillId="34" borderId="0" xfId="0" applyFont="1" applyFill="1" applyAlignment="1">
      <alignment/>
    </xf>
    <xf numFmtId="0" fontId="17" fillId="0" borderId="0" xfId="0" applyFont="1" applyAlignment="1">
      <alignment/>
    </xf>
    <xf numFmtId="0" fontId="17" fillId="0" borderId="0" xfId="0" applyFont="1" applyFill="1" applyAlignment="1">
      <alignment/>
    </xf>
    <xf numFmtId="0" fontId="20" fillId="35" borderId="0" xfId="0" applyFont="1" applyFill="1" applyAlignment="1">
      <alignment/>
    </xf>
    <xf numFmtId="0" fontId="17" fillId="35" borderId="0" xfId="0" applyFont="1" applyFill="1" applyAlignment="1">
      <alignment/>
    </xf>
    <xf numFmtId="0" fontId="21" fillId="35" borderId="0" xfId="0" applyFont="1" applyFill="1" applyAlignment="1">
      <alignment/>
    </xf>
    <xf numFmtId="177" fontId="21" fillId="0" borderId="0" xfId="46" applyNumberFormat="1" applyFont="1" applyAlignment="1">
      <alignment/>
    </xf>
    <xf numFmtId="191" fontId="21" fillId="0" borderId="0" xfId="46" applyNumberFormat="1" applyFont="1" applyAlignment="1">
      <alignment/>
    </xf>
    <xf numFmtId="0" fontId="20" fillId="0" borderId="0" xfId="0" applyFont="1" applyAlignment="1">
      <alignment/>
    </xf>
    <xf numFmtId="0" fontId="20" fillId="0" borderId="0" xfId="0" applyFont="1" applyAlignment="1">
      <alignment horizontal="center"/>
    </xf>
    <xf numFmtId="177" fontId="22" fillId="0" borderId="0" xfId="46" applyNumberFormat="1" applyFont="1" applyAlignment="1">
      <alignment/>
    </xf>
    <xf numFmtId="0" fontId="21" fillId="0" borderId="0" xfId="0" applyFont="1" applyAlignment="1">
      <alignment/>
    </xf>
    <xf numFmtId="0" fontId="22" fillId="35" borderId="0" xfId="0" applyFont="1" applyFill="1" applyAlignment="1">
      <alignment/>
    </xf>
    <xf numFmtId="0" fontId="20" fillId="0" borderId="0" xfId="0" applyFont="1" applyFill="1" applyAlignment="1">
      <alignment/>
    </xf>
    <xf numFmtId="191" fontId="22" fillId="0" borderId="0" xfId="0" applyNumberFormat="1" applyFont="1" applyAlignment="1">
      <alignment/>
    </xf>
    <xf numFmtId="177" fontId="22" fillId="35" borderId="0" xfId="46" applyNumberFormat="1" applyFont="1" applyFill="1" applyAlignment="1">
      <alignment/>
    </xf>
    <xf numFmtId="177" fontId="22" fillId="0" borderId="0" xfId="46" applyNumberFormat="1" applyFont="1" applyFill="1" applyAlignment="1">
      <alignment/>
    </xf>
    <xf numFmtId="177" fontId="20" fillId="0" borderId="0" xfId="0" applyNumberFormat="1" applyFont="1" applyFill="1" applyAlignment="1">
      <alignment/>
    </xf>
    <xf numFmtId="0" fontId="17" fillId="0" borderId="0" xfId="0" applyFont="1" applyAlignment="1">
      <alignment/>
    </xf>
    <xf numFmtId="0" fontId="2" fillId="0" borderId="14"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171" fontId="2" fillId="0" borderId="13" xfId="46" applyFont="1" applyBorder="1" applyAlignment="1">
      <alignment/>
    </xf>
    <xf numFmtId="0" fontId="15" fillId="0" borderId="0" xfId="0" applyFont="1" applyBorder="1" applyAlignment="1">
      <alignment/>
    </xf>
    <xf numFmtId="0" fontId="0" fillId="34" borderId="18" xfId="0" applyFill="1" applyBorder="1" applyAlignment="1">
      <alignment/>
    </xf>
    <xf numFmtId="0" fontId="0" fillId="0" borderId="19" xfId="0" applyBorder="1" applyAlignment="1">
      <alignment/>
    </xf>
    <xf numFmtId="0" fontId="0" fillId="33" borderId="19" xfId="0" applyFill="1" applyBorder="1" applyAlignment="1">
      <alignment/>
    </xf>
    <xf numFmtId="0" fontId="2" fillId="0" borderId="19"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0" fillId="0" borderId="14" xfId="0" applyFill="1" applyBorder="1" applyAlignment="1">
      <alignment/>
    </xf>
    <xf numFmtId="0" fontId="0" fillId="34" borderId="21" xfId="0" applyFill="1" applyBorder="1" applyAlignment="1">
      <alignment/>
    </xf>
    <xf numFmtId="0" fontId="0" fillId="0" borderId="21" xfId="0" applyBorder="1" applyAlignment="1">
      <alignment/>
    </xf>
    <xf numFmtId="0" fontId="0" fillId="0" borderId="22" xfId="0" applyBorder="1" applyAlignment="1">
      <alignment/>
    </xf>
    <xf numFmtId="0" fontId="0" fillId="33" borderId="15" xfId="0" applyFill="1" applyBorder="1" applyAlignment="1">
      <alignment/>
    </xf>
    <xf numFmtId="0" fontId="0" fillId="34" borderId="15" xfId="0" applyFill="1" applyBorder="1" applyAlignment="1">
      <alignment/>
    </xf>
    <xf numFmtId="171" fontId="2" fillId="0" borderId="0" xfId="46" applyFont="1" applyFill="1" applyAlignment="1">
      <alignment/>
    </xf>
    <xf numFmtId="171" fontId="5" fillId="0" borderId="0" xfId="46" applyFont="1" applyFill="1" applyAlignment="1">
      <alignment/>
    </xf>
    <xf numFmtId="0" fontId="2" fillId="0" borderId="0" xfId="0" applyFont="1" applyFill="1" applyBorder="1" applyAlignment="1">
      <alignment/>
    </xf>
    <xf numFmtId="0" fontId="23" fillId="0" borderId="0" xfId="0" applyFont="1" applyFill="1" applyAlignment="1">
      <alignment/>
    </xf>
    <xf numFmtId="0" fontId="23" fillId="0" borderId="0" xfId="0" applyFont="1" applyAlignment="1">
      <alignment/>
    </xf>
    <xf numFmtId="0" fontId="2" fillId="0" borderId="0" xfId="0" applyFont="1" applyAlignment="1">
      <alignment wrapText="1"/>
    </xf>
    <xf numFmtId="0" fontId="2" fillId="0" borderId="0" xfId="0" applyFont="1" applyAlignment="1">
      <alignment horizontal="center" wrapText="1"/>
    </xf>
    <xf numFmtId="191" fontId="2" fillId="0" borderId="0" xfId="0" applyNumberFormat="1" applyFont="1" applyAlignment="1">
      <alignment wrapText="1"/>
    </xf>
    <xf numFmtId="0" fontId="2" fillId="0" borderId="0" xfId="0" applyFont="1" applyAlignment="1">
      <alignment vertical="top" wrapText="1"/>
    </xf>
    <xf numFmtId="0" fontId="15" fillId="0" borderId="0" xfId="0" applyFont="1" applyFill="1" applyBorder="1" applyAlignment="1">
      <alignment/>
    </xf>
    <xf numFmtId="191" fontId="15" fillId="0" borderId="0" xfId="0" applyNumberFormat="1" applyFont="1" applyAlignment="1">
      <alignment vertical="top" wrapText="1"/>
    </xf>
    <xf numFmtId="0" fontId="15" fillId="0" borderId="0" xfId="0" applyFont="1" applyAlignment="1">
      <alignment wrapText="1"/>
    </xf>
    <xf numFmtId="0" fontId="10" fillId="38" borderId="0" xfId="0" applyFont="1" applyFill="1" applyAlignment="1">
      <alignment horizontal="center"/>
    </xf>
    <xf numFmtId="191" fontId="24" fillId="0" borderId="0" xfId="46" applyNumberFormat="1" applyFont="1" applyAlignment="1">
      <alignment/>
    </xf>
    <xf numFmtId="0" fontId="2" fillId="35" borderId="0" xfId="0" applyFont="1" applyFill="1" applyBorder="1" applyAlignment="1">
      <alignment horizontal="right"/>
    </xf>
    <xf numFmtId="184" fontId="2" fillId="0" borderId="0" xfId="55" applyNumberFormat="1" applyFont="1" applyAlignment="1">
      <alignment/>
    </xf>
    <xf numFmtId="0" fontId="15" fillId="0" borderId="0" xfId="0" applyFont="1" applyAlignment="1">
      <alignment/>
    </xf>
    <xf numFmtId="0" fontId="3" fillId="34" borderId="0" xfId="0" applyFont="1" applyFill="1" applyAlignment="1">
      <alignment horizontal="right"/>
    </xf>
    <xf numFmtId="0" fontId="25" fillId="34" borderId="0" xfId="0" applyFont="1" applyFill="1" applyAlignment="1">
      <alignment/>
    </xf>
    <xf numFmtId="0" fontId="26" fillId="0" borderId="0" xfId="0" applyFont="1" applyFill="1" applyAlignment="1">
      <alignment/>
    </xf>
    <xf numFmtId="0" fontId="2" fillId="0" borderId="0" xfId="0" applyFont="1" applyAlignment="1">
      <alignment horizontal="center" vertical="top" wrapText="1"/>
    </xf>
    <xf numFmtId="0" fontId="27" fillId="0" borderId="0" xfId="0" applyFont="1" applyAlignment="1">
      <alignment wrapText="1"/>
    </xf>
    <xf numFmtId="0" fontId="14" fillId="0" borderId="0" xfId="0" applyFont="1" applyAlignment="1">
      <alignment horizontal="center" wrapText="1"/>
    </xf>
    <xf numFmtId="191" fontId="28" fillId="0" borderId="0" xfId="0" applyNumberFormat="1" applyFont="1" applyAlignment="1">
      <alignment wrapText="1"/>
    </xf>
    <xf numFmtId="0" fontId="14" fillId="0" borderId="0" xfId="0" applyFont="1" applyAlignment="1">
      <alignment horizontal="center"/>
    </xf>
    <xf numFmtId="184" fontId="15" fillId="0" borderId="0" xfId="0" applyNumberFormat="1" applyFont="1" applyBorder="1" applyAlignment="1">
      <alignment/>
    </xf>
    <xf numFmtId="0" fontId="27" fillId="0" borderId="0" xfId="0" applyFont="1" applyAlignment="1">
      <alignment horizontal="left"/>
    </xf>
    <xf numFmtId="171" fontId="24" fillId="0" borderId="0" xfId="46" applyFont="1" applyBorder="1" applyAlignment="1">
      <alignment/>
    </xf>
    <xf numFmtId="9" fontId="15" fillId="0" borderId="0" xfId="55" applyFont="1" applyFill="1" applyAlignment="1">
      <alignment/>
    </xf>
    <xf numFmtId="0" fontId="24" fillId="0" borderId="0" xfId="0" applyFont="1" applyFill="1" applyBorder="1" applyAlignment="1">
      <alignment/>
    </xf>
    <xf numFmtId="177" fontId="26" fillId="0" borderId="0" xfId="46" applyNumberFormat="1" applyFont="1" applyAlignment="1">
      <alignment/>
    </xf>
    <xf numFmtId="191" fontId="26" fillId="0" borderId="0" xfId="46" applyNumberFormat="1" applyFont="1" applyAlignment="1">
      <alignment/>
    </xf>
    <xf numFmtId="191" fontId="26" fillId="0" borderId="0" xfId="46" applyNumberFormat="1" applyFont="1" applyFill="1" applyAlignment="1">
      <alignment/>
    </xf>
    <xf numFmtId="177" fontId="29" fillId="0" borderId="0" xfId="46" applyNumberFormat="1" applyFont="1" applyAlignment="1">
      <alignment/>
    </xf>
    <xf numFmtId="191" fontId="29" fillId="0" borderId="0" xfId="46" applyNumberFormat="1" applyFont="1" applyFill="1" applyAlignment="1">
      <alignment/>
    </xf>
    <xf numFmtId="0" fontId="26" fillId="0" borderId="0" xfId="0" applyFont="1" applyAlignment="1">
      <alignment/>
    </xf>
    <xf numFmtId="0" fontId="26" fillId="35" borderId="0" xfId="0" applyFont="1" applyFill="1" applyAlignment="1">
      <alignment/>
    </xf>
    <xf numFmtId="0" fontId="29" fillId="35" borderId="0" xfId="0" applyFont="1" applyFill="1" applyAlignment="1">
      <alignment/>
    </xf>
    <xf numFmtId="0" fontId="29" fillId="0" borderId="0" xfId="0" applyFont="1" applyFill="1" applyAlignment="1">
      <alignment/>
    </xf>
    <xf numFmtId="191" fontId="29" fillId="0" borderId="0" xfId="0" applyNumberFormat="1" applyFont="1" applyAlignment="1">
      <alignment/>
    </xf>
    <xf numFmtId="177" fontId="29" fillId="35" borderId="0" xfId="0" applyNumberFormat="1" applyFont="1" applyFill="1" applyAlignment="1">
      <alignment/>
    </xf>
    <xf numFmtId="171" fontId="0" fillId="0" borderId="13" xfId="0" applyNumberFormat="1" applyBorder="1" applyAlignment="1">
      <alignment/>
    </xf>
    <xf numFmtId="171" fontId="30" fillId="0" borderId="13" xfId="0" applyNumberFormat="1" applyFont="1" applyBorder="1" applyAlignment="1">
      <alignment/>
    </xf>
    <xf numFmtId="0" fontId="30" fillId="0" borderId="0" xfId="0" applyFont="1" applyBorder="1" applyAlignment="1">
      <alignment/>
    </xf>
    <xf numFmtId="0" fontId="30" fillId="0" borderId="15" xfId="0" applyFont="1" applyBorder="1" applyAlignment="1">
      <alignment/>
    </xf>
    <xf numFmtId="0" fontId="14" fillId="0" borderId="0" xfId="0" applyFont="1" applyAlignment="1">
      <alignment vertical="top" wrapText="1"/>
    </xf>
    <xf numFmtId="0" fontId="30" fillId="0" borderId="13" xfId="0" applyFont="1" applyBorder="1" applyAlignment="1">
      <alignment/>
    </xf>
    <xf numFmtId="0" fontId="2" fillId="0" borderId="0" xfId="0" applyFont="1" applyFill="1" applyBorder="1" applyAlignment="1">
      <alignment horizontal="left" indent="1"/>
    </xf>
    <xf numFmtId="0" fontId="32" fillId="0" borderId="0" xfId="0" applyFont="1" applyFill="1" applyAlignment="1">
      <alignment horizontal="center"/>
    </xf>
    <xf numFmtId="0" fontId="33" fillId="0" borderId="0" xfId="0" applyFont="1" applyAlignment="1">
      <alignment/>
    </xf>
    <xf numFmtId="0" fontId="32" fillId="0" borderId="0" xfId="0" applyFont="1" applyAlignment="1">
      <alignment/>
    </xf>
    <xf numFmtId="0" fontId="32" fillId="34" borderId="0" xfId="0" applyFont="1" applyFill="1" applyAlignment="1">
      <alignment/>
    </xf>
    <xf numFmtId="0" fontId="32" fillId="33" borderId="0" xfId="0" applyFont="1" applyFill="1" applyAlignment="1">
      <alignment/>
    </xf>
    <xf numFmtId="184" fontId="2" fillId="0" borderId="0" xfId="55" applyNumberFormat="1" applyFont="1" applyFill="1" applyBorder="1" applyAlignment="1">
      <alignment/>
    </xf>
    <xf numFmtId="184" fontId="2" fillId="0" borderId="0" xfId="0" applyNumberFormat="1" applyFont="1" applyFill="1" applyBorder="1" applyAlignment="1">
      <alignment horizontal="right"/>
    </xf>
    <xf numFmtId="177" fontId="14" fillId="0" borderId="0" xfId="0" applyNumberFormat="1" applyFont="1" applyFill="1" applyBorder="1" applyAlignment="1">
      <alignment horizontal="center"/>
    </xf>
    <xf numFmtId="0" fontId="27" fillId="0" borderId="0" xfId="0" applyFont="1" applyAlignment="1">
      <alignment/>
    </xf>
    <xf numFmtId="0" fontId="2" fillId="0" borderId="0" xfId="0" applyFont="1" applyAlignment="1">
      <alignment horizontal="right"/>
    </xf>
    <xf numFmtId="0" fontId="14" fillId="0" borderId="0" xfId="0" applyFont="1" applyAlignment="1">
      <alignment/>
    </xf>
    <xf numFmtId="0" fontId="5" fillId="35" borderId="0" xfId="0" applyFont="1" applyFill="1" applyAlignment="1">
      <alignment/>
    </xf>
    <xf numFmtId="171" fontId="5" fillId="35" borderId="0" xfId="46" applyFont="1" applyFill="1" applyAlignment="1">
      <alignment/>
    </xf>
    <xf numFmtId="200" fontId="14" fillId="0" borderId="0" xfId="0" applyNumberFormat="1" applyFont="1" applyFill="1" applyBorder="1" applyAlignment="1">
      <alignment horizontal="center"/>
    </xf>
    <xf numFmtId="177" fontId="14" fillId="0" borderId="13" xfId="0" applyNumberFormat="1" applyFont="1" applyFill="1" applyBorder="1" applyAlignment="1">
      <alignment horizontal="center"/>
    </xf>
    <xf numFmtId="184" fontId="14" fillId="0" borderId="13" xfId="0" applyNumberFormat="1" applyFont="1" applyFill="1" applyBorder="1" applyAlignment="1">
      <alignment horizontal="right"/>
    </xf>
    <xf numFmtId="9" fontId="14" fillId="0" borderId="0" xfId="55" applyFont="1" applyAlignment="1">
      <alignment/>
    </xf>
    <xf numFmtId="2" fontId="14" fillId="0" borderId="0" xfId="0" applyNumberFormat="1" applyFont="1" applyAlignment="1">
      <alignment/>
    </xf>
    <xf numFmtId="0" fontId="27" fillId="0" borderId="0" xfId="0" applyFont="1" applyAlignment="1">
      <alignment/>
    </xf>
    <xf numFmtId="0" fontId="2" fillId="0" borderId="0" xfId="0" applyFont="1" applyAlignment="1">
      <alignment/>
    </xf>
    <xf numFmtId="2" fontId="14" fillId="0" borderId="0" xfId="0" applyNumberFormat="1" applyFont="1" applyBorder="1" applyAlignment="1">
      <alignment/>
    </xf>
    <xf numFmtId="9" fontId="14" fillId="0" borderId="0" xfId="55" applyFont="1" applyBorder="1" applyAlignment="1">
      <alignment/>
    </xf>
    <xf numFmtId="0" fontId="27" fillId="0" borderId="0" xfId="0" applyFont="1" applyAlignment="1">
      <alignment horizontal="right"/>
    </xf>
    <xf numFmtId="10" fontId="24" fillId="0" borderId="0" xfId="55" applyNumberFormat="1" applyFont="1" applyBorder="1" applyAlignment="1">
      <alignment/>
    </xf>
    <xf numFmtId="0" fontId="14" fillId="0" borderId="0" xfId="0" applyFont="1" applyFill="1" applyAlignment="1">
      <alignment/>
    </xf>
    <xf numFmtId="9" fontId="14" fillId="0" borderId="0" xfId="0" applyNumberFormat="1" applyFont="1" applyBorder="1" applyAlignment="1">
      <alignment/>
    </xf>
    <xf numFmtId="0" fontId="34" fillId="0" borderId="0" xfId="0" applyFont="1" applyAlignment="1">
      <alignment/>
    </xf>
    <xf numFmtId="0" fontId="35" fillId="0" borderId="0" xfId="0" applyFont="1" applyFill="1" applyAlignment="1">
      <alignment/>
    </xf>
    <xf numFmtId="0" fontId="34" fillId="0" borderId="0" xfId="0" applyFont="1" applyBorder="1" applyAlignment="1">
      <alignment/>
    </xf>
    <xf numFmtId="0" fontId="34" fillId="0" borderId="10" xfId="0" applyFont="1" applyBorder="1" applyAlignment="1">
      <alignment/>
    </xf>
    <xf numFmtId="0" fontId="34" fillId="33" borderId="0" xfId="0" applyFont="1" applyFill="1" applyBorder="1" applyAlignment="1">
      <alignment horizontal="center"/>
    </xf>
    <xf numFmtId="0" fontId="34" fillId="34" borderId="0" xfId="0" applyFont="1" applyFill="1" applyAlignment="1">
      <alignment/>
    </xf>
    <xf numFmtId="0" fontId="36" fillId="0" borderId="0" xfId="0" applyFont="1" applyAlignment="1">
      <alignment horizontal="right"/>
    </xf>
    <xf numFmtId="177" fontId="37" fillId="0" borderId="0" xfId="0" applyNumberFormat="1" applyFont="1" applyFill="1" applyBorder="1" applyAlignment="1">
      <alignment horizontal="center"/>
    </xf>
    <xf numFmtId="177" fontId="37" fillId="0" borderId="13" xfId="0" applyNumberFormat="1" applyFont="1" applyFill="1" applyBorder="1" applyAlignment="1">
      <alignment horizontal="center"/>
    </xf>
    <xf numFmtId="184" fontId="37" fillId="0" borderId="13" xfId="0" applyNumberFormat="1" applyFont="1" applyFill="1" applyBorder="1" applyAlignment="1">
      <alignment horizontal="right"/>
    </xf>
    <xf numFmtId="184" fontId="34" fillId="0" borderId="0" xfId="0" applyNumberFormat="1" applyFont="1" applyFill="1" applyBorder="1" applyAlignment="1">
      <alignment horizontal="right"/>
    </xf>
    <xf numFmtId="200" fontId="37" fillId="0" borderId="0" xfId="0" applyNumberFormat="1" applyFont="1" applyFill="1" applyBorder="1" applyAlignment="1">
      <alignment horizontal="center"/>
    </xf>
    <xf numFmtId="9" fontId="37" fillId="0" borderId="0" xfId="55" applyFont="1" applyAlignment="1">
      <alignment/>
    </xf>
    <xf numFmtId="0" fontId="37" fillId="0" borderId="0" xfId="0" applyFont="1" applyAlignment="1">
      <alignment/>
    </xf>
    <xf numFmtId="2" fontId="37" fillId="0" borderId="0" xfId="0" applyNumberFormat="1" applyFont="1" applyBorder="1" applyAlignment="1">
      <alignment/>
    </xf>
    <xf numFmtId="9" fontId="37" fillId="0" borderId="0" xfId="55" applyFont="1" applyBorder="1" applyAlignment="1">
      <alignment/>
    </xf>
    <xf numFmtId="177" fontId="37" fillId="0" borderId="13" xfId="0" applyNumberFormat="1" applyFont="1" applyBorder="1" applyAlignment="1">
      <alignment/>
    </xf>
    <xf numFmtId="184" fontId="37" fillId="0" borderId="13" xfId="0" applyNumberFormat="1" applyFont="1" applyBorder="1" applyAlignment="1">
      <alignment/>
    </xf>
    <xf numFmtId="9" fontId="37" fillId="0" borderId="0" xfId="0" applyNumberFormat="1" applyFont="1" applyBorder="1" applyAlignment="1">
      <alignment/>
    </xf>
    <xf numFmtId="0" fontId="34" fillId="0" borderId="0" xfId="0" applyFont="1" applyFill="1" applyAlignment="1">
      <alignment/>
    </xf>
    <xf numFmtId="2" fontId="37" fillId="0" borderId="0" xfId="0" applyNumberFormat="1" applyFont="1" applyAlignment="1">
      <alignment/>
    </xf>
    <xf numFmtId="0" fontId="2" fillId="0" borderId="0" xfId="0" applyFont="1" applyAlignment="1">
      <alignment horizontal="left"/>
    </xf>
    <xf numFmtId="3" fontId="2" fillId="0" borderId="0" xfId="0" applyNumberFormat="1" applyFont="1" applyFill="1" applyAlignment="1">
      <alignment horizontal="center"/>
    </xf>
    <xf numFmtId="4" fontId="14" fillId="0" borderId="0" xfId="0" applyNumberFormat="1" applyFont="1" applyAlignment="1">
      <alignment/>
    </xf>
    <xf numFmtId="191" fontId="14" fillId="0" borderId="23" xfId="0" applyNumberFormat="1" applyFont="1" applyBorder="1" applyAlignment="1">
      <alignment/>
    </xf>
    <xf numFmtId="191" fontId="37" fillId="0" borderId="13" xfId="0" applyNumberFormat="1" applyFont="1" applyBorder="1" applyAlignment="1">
      <alignment/>
    </xf>
    <xf numFmtId="0" fontId="34" fillId="0" borderId="0" xfId="0" applyFont="1" applyAlignment="1">
      <alignment/>
    </xf>
    <xf numFmtId="184" fontId="37" fillId="0" borderId="0" xfId="0" applyNumberFormat="1" applyFont="1" applyBorder="1" applyAlignment="1">
      <alignment/>
    </xf>
    <xf numFmtId="184" fontId="14" fillId="0" borderId="0" xfId="0" applyNumberFormat="1" applyFont="1" applyFill="1" applyBorder="1" applyAlignment="1">
      <alignment horizontal="right"/>
    </xf>
    <xf numFmtId="9" fontId="3" fillId="34" borderId="0" xfId="55" applyFont="1" applyFill="1" applyBorder="1" applyAlignment="1">
      <alignment/>
    </xf>
    <xf numFmtId="0" fontId="2" fillId="0" borderId="0" xfId="0" applyFont="1" applyFill="1" applyBorder="1" applyAlignment="1">
      <alignment horizontal="left"/>
    </xf>
    <xf numFmtId="0" fontId="38" fillId="38" borderId="24" xfId="0" applyFont="1" applyFill="1" applyBorder="1" applyAlignment="1">
      <alignment horizontal="center"/>
    </xf>
    <xf numFmtId="0" fontId="38" fillId="38" borderId="25" xfId="0" applyFont="1" applyFill="1" applyBorder="1" applyAlignment="1">
      <alignment horizontal="center"/>
    </xf>
    <xf numFmtId="191" fontId="3" fillId="34" borderId="0" xfId="46" applyNumberFormat="1" applyFont="1" applyFill="1" applyBorder="1" applyAlignment="1">
      <alignment/>
    </xf>
    <xf numFmtId="4" fontId="14" fillId="0" borderId="0" xfId="0" applyNumberFormat="1" applyFont="1" applyBorder="1" applyAlignment="1">
      <alignment/>
    </xf>
    <xf numFmtId="184" fontId="14" fillId="0" borderId="0" xfId="0" applyNumberFormat="1" applyFont="1" applyBorder="1" applyAlignment="1">
      <alignment/>
    </xf>
    <xf numFmtId="1" fontId="14" fillId="0" borderId="0" xfId="0" applyNumberFormat="1" applyFont="1" applyBorder="1" applyAlignment="1">
      <alignment/>
    </xf>
    <xf numFmtId="171" fontId="26" fillId="0" borderId="0" xfId="0" applyNumberFormat="1" applyFont="1" applyAlignment="1">
      <alignment/>
    </xf>
    <xf numFmtId="190" fontId="3" fillId="34" borderId="0" xfId="46" applyNumberFormat="1" applyFont="1" applyFill="1" applyBorder="1" applyAlignment="1">
      <alignment/>
    </xf>
    <xf numFmtId="184" fontId="3" fillId="34" borderId="0" xfId="55" applyNumberFormat="1" applyFont="1" applyFill="1" applyBorder="1" applyAlignment="1">
      <alignment/>
    </xf>
    <xf numFmtId="0" fontId="27" fillId="0" borderId="0" xfId="0" applyFont="1" applyFill="1" applyAlignment="1">
      <alignment horizontal="right"/>
    </xf>
    <xf numFmtId="0" fontId="36" fillId="0" borderId="0" xfId="0" applyFont="1" applyAlignment="1">
      <alignment horizontal="left"/>
    </xf>
    <xf numFmtId="1" fontId="37" fillId="0" borderId="0" xfId="0" applyNumberFormat="1" applyFont="1" applyBorder="1" applyAlignment="1">
      <alignment horizontal="left"/>
    </xf>
    <xf numFmtId="2" fontId="37" fillId="0" borderId="0" xfId="0" applyNumberFormat="1" applyFont="1" applyBorder="1" applyAlignment="1">
      <alignment horizontal="left"/>
    </xf>
    <xf numFmtId="9" fontId="37" fillId="0" borderId="0" xfId="55" applyFont="1" applyBorder="1" applyAlignment="1">
      <alignment horizontal="left"/>
    </xf>
    <xf numFmtId="4" fontId="37" fillId="0" borderId="0" xfId="0" applyNumberFormat="1" applyFont="1" applyBorder="1" applyAlignment="1">
      <alignment horizontal="left"/>
    </xf>
    <xf numFmtId="184" fontId="37" fillId="0" borderId="0" xfId="0" applyNumberFormat="1" applyFont="1" applyBorder="1" applyAlignment="1">
      <alignment horizontal="left"/>
    </xf>
    <xf numFmtId="0" fontId="0" fillId="0" borderId="0" xfId="0" applyFont="1" applyAlignment="1">
      <alignment/>
    </xf>
    <xf numFmtId="0" fontId="20" fillId="0" borderId="0" xfId="0" applyFont="1" applyFill="1" applyAlignment="1">
      <alignment horizontal="center"/>
    </xf>
    <xf numFmtId="177" fontId="20" fillId="0" borderId="0" xfId="0" applyNumberFormat="1" applyFont="1" applyFill="1" applyAlignment="1">
      <alignment horizontal="center"/>
    </xf>
    <xf numFmtId="177" fontId="26" fillId="35" borderId="0" xfId="46" applyNumberFormat="1" applyFont="1" applyFill="1" applyAlignment="1">
      <alignment/>
    </xf>
    <xf numFmtId="0" fontId="41" fillId="35" borderId="0" xfId="0" applyFont="1" applyFill="1" applyAlignment="1">
      <alignment/>
    </xf>
    <xf numFmtId="191" fontId="22" fillId="35" borderId="0" xfId="46" applyNumberFormat="1" applyFont="1" applyFill="1" applyAlignment="1">
      <alignment/>
    </xf>
    <xf numFmtId="0" fontId="0" fillId="0" borderId="0" xfId="0" applyFill="1" applyAlignment="1">
      <alignment/>
    </xf>
    <xf numFmtId="177" fontId="26" fillId="0" borderId="0" xfId="46" applyNumberFormat="1" applyFont="1" applyFill="1" applyAlignment="1">
      <alignment/>
    </xf>
    <xf numFmtId="177" fontId="20" fillId="35" borderId="0" xfId="0" applyNumberFormat="1" applyFont="1" applyFill="1" applyAlignment="1">
      <alignment horizontal="center"/>
    </xf>
    <xf numFmtId="171" fontId="3" fillId="34" borderId="0" xfId="46" applyNumberFormat="1" applyFont="1" applyFill="1" applyBorder="1" applyAlignment="1">
      <alignment/>
    </xf>
    <xf numFmtId="203" fontId="3" fillId="34" borderId="0" xfId="46" applyNumberFormat="1" applyFont="1" applyFill="1" applyBorder="1" applyAlignment="1">
      <alignment/>
    </xf>
    <xf numFmtId="191" fontId="14" fillId="0" borderId="26" xfId="0" applyNumberFormat="1" applyFont="1" applyFill="1" applyBorder="1" applyAlignment="1">
      <alignment/>
    </xf>
    <xf numFmtId="2" fontId="2" fillId="0" borderId="0" xfId="0" applyNumberFormat="1" applyFont="1" applyFill="1" applyBorder="1" applyAlignment="1">
      <alignment horizontal="right" vertical="center" wrapText="1"/>
    </xf>
    <xf numFmtId="2" fontId="2" fillId="0" borderId="15" xfId="0" applyNumberFormat="1" applyFont="1" applyFill="1" applyBorder="1" applyAlignment="1">
      <alignment horizontal="right" vertical="center" wrapText="1"/>
    </xf>
    <xf numFmtId="0" fontId="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395"/>
          <c:w val="0.90175"/>
          <c:h val="0.68425"/>
        </c:manualLayout>
      </c:layout>
      <c:lineChart>
        <c:grouping val="standard"/>
        <c:varyColors val="0"/>
        <c:ser>
          <c:idx val="1"/>
          <c:order val="0"/>
          <c:tx>
            <c:strRef>
              <c:f>'Annex 1 - Timber prices'!$B$4</c:f>
              <c:strCache>
                <c:ptCount val="1"/>
                <c:pt idx="0">
                  <c:v>hardwood timber price (USD/m3)</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1 - Timber prices'!$D$3:$AL$3</c:f>
              <c:numCache/>
            </c:numRef>
          </c:cat>
          <c:val>
            <c:numRef>
              <c:f>'Annex 1 - Timber prices'!$D$4:$AL$4</c:f>
              <c:numCache/>
            </c:numRef>
          </c:val>
          <c:smooth val="0"/>
        </c:ser>
        <c:ser>
          <c:idx val="0"/>
          <c:order val="1"/>
          <c:tx>
            <c:strRef>
              <c:f>'Annex 1 - Timber prices'!$B$5</c:f>
              <c:strCache>
                <c:ptCount val="1"/>
                <c:pt idx="0">
                  <c:v>softwood timber price (USD/m3)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'Annex 1 - Timber prices'!$D$3:$AL$3</c:f>
              <c:numCache/>
            </c:numRef>
          </c:cat>
          <c:val>
            <c:numRef>
              <c:f>'Annex 1 - Timber prices'!$D$5:$AL$5</c:f>
              <c:numCache/>
            </c:numRef>
          </c:val>
          <c:smooth val="0"/>
        </c:ser>
        <c:marker val="1"/>
        <c:axId val="59137621"/>
        <c:axId val="62476542"/>
      </c:lineChart>
      <c:catAx>
        <c:axId val="59137621"/>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38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62476542"/>
        <c:crossesAt val="5"/>
        <c:auto val="1"/>
        <c:lblOffset val="100"/>
        <c:tickLblSkip val="2"/>
        <c:noMultiLvlLbl val="0"/>
      </c:catAx>
      <c:valAx>
        <c:axId val="62476542"/>
        <c:scaling>
          <c:orientation val="minMax"/>
          <c:min val="5"/>
        </c:scaling>
        <c:axPos val="l"/>
        <c:title>
          <c:tx>
            <c:rich>
              <a:bodyPr vert="horz" rot="-5400000" anchor="ctr"/>
              <a:lstStyle/>
              <a:p>
                <a:pPr algn="ctr">
                  <a:defRPr/>
                </a:pPr>
                <a:r>
                  <a:rPr lang="en-US" cap="none" sz="1200" b="0" i="0" u="none" baseline="0">
                    <a:solidFill>
                      <a:srgbClr val="000000"/>
                    </a:solidFill>
                  </a:rPr>
                  <a:t>Price (USD/m3)</a:t>
                </a:r>
              </a:p>
            </c:rich>
          </c:tx>
          <c:layout>
            <c:manualLayout>
              <c:xMode val="factor"/>
              <c:yMode val="factor"/>
              <c:x val="-0.012"/>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9137621"/>
        <c:crossesAt val="1"/>
        <c:crossBetween val="between"/>
        <c:dispUnits/>
      </c:valAx>
      <c:spPr>
        <a:solidFill>
          <a:srgbClr val="FFFFFF"/>
        </a:solidFill>
        <a:ln w="12700">
          <a:solidFill>
            <a:srgbClr val="808080"/>
          </a:solidFill>
        </a:ln>
      </c:spPr>
    </c:plotArea>
    <c:legend>
      <c:legendPos val="r"/>
      <c:layout>
        <c:manualLayout>
          <c:xMode val="edge"/>
          <c:yMode val="edge"/>
          <c:x val="0.112"/>
          <c:y val="0.89325"/>
          <c:w val="0.78325"/>
          <c:h val="0.094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4225"/>
          <c:w val="0.9005"/>
          <c:h val="0.71"/>
        </c:manualLayout>
      </c:layout>
      <c:lineChart>
        <c:grouping val="standard"/>
        <c:varyColors val="0"/>
        <c:ser>
          <c:idx val="1"/>
          <c:order val="0"/>
          <c:tx>
            <c:strRef>
              <c:f>'Annex 2 - Bushes harvest prices'!$B$4</c:f>
              <c:strCache>
                <c:ptCount val="1"/>
                <c:pt idx="0">
                  <c:v>bushes harvest price (USD/kg)</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2 - Bushes harvest prices'!$D$3:$AL$3</c:f>
              <c:numCache/>
            </c:numRef>
          </c:cat>
          <c:val>
            <c:numRef>
              <c:f>'Annex 2 - Bushes harvest prices'!$D$4:$AL$4</c:f>
              <c:numCache/>
            </c:numRef>
          </c:val>
          <c:smooth val="0"/>
        </c:ser>
        <c:marker val="1"/>
        <c:axId val="25417967"/>
        <c:axId val="27435112"/>
      </c:lineChart>
      <c:catAx>
        <c:axId val="25417967"/>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34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27435112"/>
        <c:crossesAt val="0"/>
        <c:auto val="1"/>
        <c:lblOffset val="100"/>
        <c:tickLblSkip val="2"/>
        <c:noMultiLvlLbl val="0"/>
      </c:catAx>
      <c:valAx>
        <c:axId val="27435112"/>
        <c:scaling>
          <c:orientation val="minMax"/>
        </c:scaling>
        <c:axPos val="l"/>
        <c:title>
          <c:tx>
            <c:rich>
              <a:bodyPr vert="horz" rot="-5400000" anchor="ctr"/>
              <a:lstStyle/>
              <a:p>
                <a:pPr algn="ctr">
                  <a:defRPr/>
                </a:pPr>
                <a:r>
                  <a:rPr lang="en-US" cap="none" sz="1200" b="0" i="0" u="none" baseline="0">
                    <a:solidFill>
                      <a:srgbClr val="000000"/>
                    </a:solidFill>
                  </a:rPr>
                  <a:t>Price (USD/kg)</a:t>
                </a:r>
              </a:p>
            </c:rich>
          </c:tx>
          <c:layout>
            <c:manualLayout>
              <c:xMode val="factor"/>
              <c:yMode val="factor"/>
              <c:x val="-0.00875"/>
              <c:y val="-0.02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417967"/>
        <c:crossesAt val="1"/>
        <c:crossBetween val="between"/>
        <c:dispUnits/>
      </c:valAx>
      <c:spPr>
        <a:solidFill>
          <a:srgbClr val="FFFFFF"/>
        </a:solidFill>
        <a:ln w="12700">
          <a:solidFill>
            <a:srgbClr val="808080"/>
          </a:solidFill>
        </a:ln>
      </c:spPr>
    </c:plotArea>
    <c:legend>
      <c:legendPos val="r"/>
      <c:layout>
        <c:manualLayout>
          <c:xMode val="edge"/>
          <c:yMode val="edge"/>
          <c:x val="0.36525"/>
          <c:y val="0.89125"/>
          <c:w val="0.364"/>
          <c:h val="0.067"/>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03425"/>
          <c:w val="0.9125"/>
          <c:h val="0.75475"/>
        </c:manualLayout>
      </c:layout>
      <c:lineChart>
        <c:grouping val="standard"/>
        <c:varyColors val="0"/>
        <c:ser>
          <c:idx val="1"/>
          <c:order val="0"/>
          <c:tx>
            <c:strRef>
              <c:f>'Annex 3 - Carbon credit prices'!$B$4</c:f>
              <c:strCache>
                <c:ptCount val="1"/>
                <c:pt idx="0">
                  <c:v>Carbon credit prices (USD/credit)</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3 - Carbon credit prices'!$D$3:$AL$3</c:f>
              <c:numCache/>
            </c:numRef>
          </c:cat>
          <c:val>
            <c:numRef>
              <c:f>'Annex 3 - Carbon credit prices'!$D$4:$AL$4</c:f>
              <c:numCache/>
            </c:numRef>
          </c:val>
          <c:smooth val="0"/>
        </c:ser>
        <c:marker val="1"/>
        <c:axId val="45589417"/>
        <c:axId val="7651570"/>
      </c:lineChart>
      <c:catAx>
        <c:axId val="45589417"/>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20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7651570"/>
        <c:crosses val="autoZero"/>
        <c:auto val="1"/>
        <c:lblOffset val="100"/>
        <c:tickLblSkip val="2"/>
        <c:noMultiLvlLbl val="0"/>
      </c:catAx>
      <c:valAx>
        <c:axId val="7651570"/>
        <c:scaling>
          <c:orientation val="minMax"/>
        </c:scaling>
        <c:axPos val="l"/>
        <c:title>
          <c:tx>
            <c:rich>
              <a:bodyPr vert="horz" rot="-5400000" anchor="ctr"/>
              <a:lstStyle/>
              <a:p>
                <a:pPr algn="ctr">
                  <a:defRPr/>
                </a:pPr>
                <a:r>
                  <a:rPr lang="en-US" cap="none" sz="1200" b="0" i="0" u="none" baseline="0">
                    <a:solidFill>
                      <a:srgbClr val="000000"/>
                    </a:solidFill>
                  </a:rPr>
                  <a:t>Price (USD/credit)</a:t>
                </a:r>
              </a:p>
            </c:rich>
          </c:tx>
          <c:layout>
            <c:manualLayout>
              <c:xMode val="factor"/>
              <c:yMode val="factor"/>
              <c:x val="-0.00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5589417"/>
        <c:crossesAt val="1"/>
        <c:crossBetween val="between"/>
        <c:dispUnits/>
      </c:valAx>
      <c:spPr>
        <a:solidFill>
          <a:srgbClr val="FFFFFF"/>
        </a:solidFill>
        <a:ln w="3175">
          <a:solidFill>
            <a:srgbClr val="000000"/>
          </a:solidFill>
        </a:ln>
      </c:spPr>
    </c:plotArea>
    <c:legend>
      <c:legendPos val="r"/>
      <c:layout>
        <c:manualLayout>
          <c:xMode val="edge"/>
          <c:yMode val="edge"/>
          <c:x val="0.3175"/>
          <c:y val="0.908"/>
          <c:w val="0.41725"/>
          <c:h val="0.056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65"/>
          <c:w val="0.95075"/>
          <c:h val="0.8555"/>
        </c:manualLayout>
      </c:layout>
      <c:barChart>
        <c:barDir val="col"/>
        <c:grouping val="clustered"/>
        <c:varyColors val="0"/>
        <c:ser>
          <c:idx val="0"/>
          <c:order val="0"/>
          <c:tx>
            <c:v>Cumulative Free Cash Flow (kUSD)</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Workings!$D$4:$AL$4</c:f>
              <c:numCache>
                <c:ptCount val="3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numCache>
            </c:numRef>
          </c:cat>
          <c:val>
            <c:numRef>
              <c:f>Workings!$D$62:$AL$62</c:f>
              <c:numCache>
                <c:ptCount val="35"/>
                <c:pt idx="0">
                  <c:v>-547964.25225</c:v>
                </c:pt>
                <c:pt idx="1">
                  <c:v>-569396.55959075</c:v>
                </c:pt>
                <c:pt idx="2">
                  <c:v>-585818.9058728127</c:v>
                </c:pt>
                <c:pt idx="3">
                  <c:v>-603168.7505777531</c:v>
                </c:pt>
                <c:pt idx="4">
                  <c:v>-541451.1343961203</c:v>
                </c:pt>
                <c:pt idx="5">
                  <c:v>-476933.6069809289</c:v>
                </c:pt>
                <c:pt idx="6">
                  <c:v>-409492.8132609319</c:v>
                </c:pt>
                <c:pt idx="7">
                  <c:v>-339000.1952289294</c:v>
                </c:pt>
                <c:pt idx="8">
                  <c:v>-256963.62271491883</c:v>
                </c:pt>
                <c:pt idx="9">
                  <c:v>811241.2640342563</c:v>
                </c:pt>
                <c:pt idx="10">
                  <c:v>883113.5264710925</c:v>
                </c:pt>
                <c:pt idx="11">
                  <c:v>958310.6906970812</c:v>
                </c:pt>
                <c:pt idx="12">
                  <c:v>1036983.324946892</c:v>
                </c:pt>
                <c:pt idx="13">
                  <c:v>1119288.6150823934</c:v>
                </c:pt>
                <c:pt idx="14">
                  <c:v>1205390.6427504502</c:v>
                </c:pt>
                <c:pt idx="15">
                  <c:v>1295460.6744061403</c:v>
                </c:pt>
                <c:pt idx="16">
                  <c:v>1389677.4615695798</c:v>
                </c:pt>
                <c:pt idx="17">
                  <c:v>1488227.5526929025</c:v>
                </c:pt>
                <c:pt idx="18">
                  <c:v>1591305.6170221448</c:v>
                </c:pt>
                <c:pt idx="19">
                  <c:v>2862429.1987388614</c:v>
                </c:pt>
                <c:pt idx="20">
                  <c:v>2975181.3944295254</c:v>
                </c:pt>
                <c:pt idx="21">
                  <c:v>3093097.722671837</c:v>
                </c:pt>
                <c:pt idx="22">
                  <c:v>3216408.828311514</c:v>
                </c:pt>
                <c:pt idx="23">
                  <c:v>3345355.290232527</c:v>
                </c:pt>
                <c:pt idx="24">
                  <c:v>6808336.817978362</c:v>
                </c:pt>
                <c:pt idx="25">
                  <c:v>6949317.501858324</c:v>
                </c:pt>
                <c:pt idx="26">
                  <c:v>7096719.001207384</c:v>
                </c:pt>
                <c:pt idx="27">
                  <c:v>7250825.825603362</c:v>
                </c:pt>
                <c:pt idx="28">
                  <c:v>7411934.593717982</c:v>
                </c:pt>
                <c:pt idx="29">
                  <c:v>7580354.516559611</c:v>
                </c:pt>
                <c:pt idx="30">
                  <c:v>7756407.897841074</c:v>
                </c:pt>
                <c:pt idx="31">
                  <c:v>7940430.651924622</c:v>
                </c:pt>
                <c:pt idx="32">
                  <c:v>8132772.839795591</c:v>
                </c:pt>
                <c:pt idx="33">
                  <c:v>8333799.223514347</c:v>
                </c:pt>
                <c:pt idx="34">
                  <c:v>18454186.438838564</c:v>
                </c:pt>
              </c:numCache>
            </c:numRef>
          </c:val>
        </c:ser>
        <c:axId val="1755267"/>
        <c:axId val="15797404"/>
      </c:barChart>
      <c:catAx>
        <c:axId val="1755267"/>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03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5797404"/>
        <c:crosses val="autoZero"/>
        <c:auto val="1"/>
        <c:lblOffset val="100"/>
        <c:tickLblSkip val="1"/>
        <c:noMultiLvlLbl val="0"/>
      </c:catAx>
      <c:valAx>
        <c:axId val="15797404"/>
        <c:scaling>
          <c:orientation val="minMax"/>
        </c:scaling>
        <c:axPos val="l"/>
        <c:title>
          <c:tx>
            <c:rich>
              <a:bodyPr vert="horz" rot="-5400000" anchor="ctr"/>
              <a:lstStyle/>
              <a:p>
                <a:pPr algn="ctr">
                  <a:defRPr/>
                </a:pPr>
                <a:r>
                  <a:rPr lang="en-US" cap="none" sz="1200" b="0" i="0" u="none" baseline="0">
                    <a:solidFill>
                      <a:srgbClr val="000000"/>
                    </a:solidFill>
                  </a:rPr>
                  <a:t>Cumulative FCF (kUSD)</a:t>
                </a:r>
              </a:p>
            </c:rich>
          </c:tx>
          <c:layout>
            <c:manualLayout>
              <c:xMode val="factor"/>
              <c:yMode val="factor"/>
              <c:x val="0.00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755267"/>
        <c:crossesAt val="1"/>
        <c:crossBetween val="between"/>
        <c:dispUnits/>
      </c:valAx>
      <c:spPr>
        <a:solidFill>
          <a:srgbClr val="FFFFFF"/>
        </a:solidFill>
        <a:ln w="3175">
          <a:solidFill>
            <a:srgbClr val="000000"/>
          </a:solidFill>
        </a:ln>
      </c:spPr>
    </c:plotArea>
    <c:legend>
      <c:legendPos val="r"/>
      <c:layout>
        <c:manualLayout>
          <c:xMode val="edge"/>
          <c:yMode val="edge"/>
          <c:x val="0.415"/>
          <c:y val="0.92775"/>
          <c:w val="0.236"/>
          <c:h val="0.05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Employment generated (FTE) over project lifetime</a:t>
            </a:r>
          </a:p>
        </c:rich>
      </c:tx>
      <c:layout>
        <c:manualLayout>
          <c:xMode val="factor"/>
          <c:yMode val="factor"/>
          <c:x val="0.0515"/>
          <c:y val="-0.001"/>
        </c:manualLayout>
      </c:layout>
      <c:spPr>
        <a:noFill/>
        <a:ln>
          <a:noFill/>
        </a:ln>
      </c:spPr>
    </c:title>
    <c:plotArea>
      <c:layout>
        <c:manualLayout>
          <c:xMode val="edge"/>
          <c:yMode val="edge"/>
          <c:x val="0.1925"/>
          <c:y val="0.16875"/>
          <c:w val="0.718"/>
          <c:h val="0.45775"/>
        </c:manualLayout>
      </c:layout>
      <c:areaChart>
        <c:grouping val="stacked"/>
        <c:varyColors val="0"/>
        <c:ser>
          <c:idx val="0"/>
          <c:order val="0"/>
          <c:tx>
            <c:strRef>
              <c:f>'Annex 6 - Employment'!$B$4:$C$4</c:f>
              <c:strCache>
                <c:ptCount val="1"/>
                <c:pt idx="0">
                  <c:v>Baseline study</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Employment'!$D$4:$AL$4</c:f>
              <c:numCache/>
            </c:numRef>
          </c:val>
        </c:ser>
        <c:ser>
          <c:idx val="1"/>
          <c:order val="1"/>
          <c:tx>
            <c:strRef>
              <c:f>'Annex 6 - Employment'!$B$5:$C$5</c:f>
              <c:strCache>
                <c:ptCount val="1"/>
                <c:pt idx="0">
                  <c:v>Land preparation</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Employment'!$D$5:$AL$5</c:f>
              <c:numCache/>
            </c:numRef>
          </c:val>
        </c:ser>
        <c:ser>
          <c:idx val="2"/>
          <c:order val="2"/>
          <c:tx>
            <c:strRef>
              <c:f>'Annex 6 - Employment'!$B$6:$C$6</c:f>
              <c:strCache>
                <c:ptCount val="1"/>
                <c:pt idx="0">
                  <c:v>Planting</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Employment'!$D$6:$AL$6</c:f>
              <c:numCache/>
            </c:numRef>
          </c:val>
        </c:ser>
        <c:ser>
          <c:idx val="3"/>
          <c:order val="3"/>
          <c:tx>
            <c:strRef>
              <c:f>'Annex 6 - Employment'!$B$7:$C$7</c:f>
              <c:strCache>
                <c:ptCount val="1"/>
                <c:pt idx="0">
                  <c:v>Overhead and management</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Employment'!$D$7:$AL$7</c:f>
              <c:numCache/>
            </c:numRef>
          </c:val>
        </c:ser>
        <c:ser>
          <c:idx val="4"/>
          <c:order val="4"/>
          <c:tx>
            <c:strRef>
              <c:f>'Annex 6 - Employment'!$B$8:$C$8</c:f>
              <c:strCache>
                <c:ptCount val="1"/>
                <c:pt idx="0">
                  <c:v>Custodial management</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Employment'!$D$8:$AL$8</c:f>
              <c:numCache/>
            </c:numRef>
          </c:val>
        </c:ser>
        <c:ser>
          <c:idx val="5"/>
          <c:order val="5"/>
          <c:tx>
            <c:strRef>
              <c:f>'Annex 6 - Employment'!$B$9:$C$9</c:f>
              <c:strCache>
                <c:ptCount val="1"/>
                <c:pt idx="0">
                  <c:v>Waterbox removal</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Employment'!$D$9:$AL$9</c:f>
              <c:numCache/>
            </c:numRef>
          </c:val>
        </c:ser>
        <c:ser>
          <c:idx val="6"/>
          <c:order val="6"/>
          <c:tx>
            <c:strRef>
              <c:f>'Annex 6 - Employment'!$B$10:$C$10</c:f>
              <c:strCache>
                <c:ptCount val="1"/>
                <c:pt idx="0">
                  <c:v>Maintenance - year 2-8</c:v>
                </c:pt>
              </c:strCache>
            </c:strRef>
          </c:tx>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Employment'!$D$10:$AL$10</c:f>
              <c:numCache/>
            </c:numRef>
          </c:val>
        </c:ser>
        <c:ser>
          <c:idx val="7"/>
          <c:order val="7"/>
          <c:tx>
            <c:strRef>
              <c:f>'Annex 6 - Employment'!$B$11:$C$11</c:f>
              <c:strCache>
                <c:ptCount val="1"/>
                <c:pt idx="0">
                  <c:v>Maintenance - year 8 onwards</c:v>
                </c:pt>
              </c:strCache>
            </c:strRef>
          </c:tx>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Employment'!$D$11:$AL$11</c:f>
              <c:numCache/>
            </c:numRef>
          </c:val>
        </c:ser>
        <c:ser>
          <c:idx val="8"/>
          <c:order val="8"/>
          <c:tx>
            <c:strRef>
              <c:f>'Annex 6 - Employment'!$B$12:$C$12</c:f>
              <c:strCache>
                <c:ptCount val="1"/>
                <c:pt idx="0">
                  <c:v>Harvesting of bushes (fruit/nuts)</c:v>
                </c:pt>
              </c:strCache>
            </c:strRef>
          </c:tx>
          <c:spPr>
            <a:solidFill>
              <a:srgbClr val="0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Employment'!$D$12:$AL$12</c:f>
              <c:numCache/>
            </c:numRef>
          </c:val>
        </c:ser>
        <c:ser>
          <c:idx val="9"/>
          <c:order val="9"/>
          <c:tx>
            <c:strRef>
              <c:f>'Annex 6 - Employment'!$B$13:$C$13</c:f>
              <c:strCache>
                <c:ptCount val="1"/>
                <c:pt idx="0">
                  <c:v>Harvesting of trees (timber) - first interim harvest</c:v>
                </c:pt>
              </c:strCache>
            </c:strRef>
          </c:tx>
          <c:spPr>
            <a:solidFill>
              <a:srgbClr val="FF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Employment'!$D$13:$AL$13</c:f>
              <c:numCache/>
            </c:numRef>
          </c:val>
        </c:ser>
        <c:ser>
          <c:idx val="10"/>
          <c:order val="10"/>
          <c:tx>
            <c:strRef>
              <c:f>'Annex 6 - Employment'!$B$14:$C$14</c:f>
              <c:strCache>
                <c:ptCount val="1"/>
                <c:pt idx="0">
                  <c:v>Harvesting of trees (timber) - second interim harvest</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Employment'!$D$14:$AL$14</c:f>
              <c:numCache/>
            </c:numRef>
          </c:val>
        </c:ser>
        <c:ser>
          <c:idx val="11"/>
          <c:order val="11"/>
          <c:tx>
            <c:strRef>
              <c:f>'Annex 6 - Employment'!$B$15:$C$15</c:f>
              <c:strCache>
                <c:ptCount val="1"/>
                <c:pt idx="0">
                  <c:v>Harvesting of trees (timber) - third interim harvest</c:v>
                </c:pt>
              </c:strCache>
            </c:strRef>
          </c:tx>
          <c:spPr>
            <a:solidFill>
              <a:srgbClr val="00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Employment'!$D$15:$AL$15</c:f>
              <c:numCache/>
            </c:numRef>
          </c:val>
        </c:ser>
        <c:ser>
          <c:idx val="12"/>
          <c:order val="12"/>
          <c:tx>
            <c:strRef>
              <c:f>'Annex 6 - Employment'!$B$16:$C$16</c:f>
              <c:strCache>
                <c:ptCount val="1"/>
                <c:pt idx="0">
                  <c:v>Harvesting of trees (timber) - final harvest</c:v>
                </c:pt>
              </c:strCache>
            </c:strRef>
          </c:tx>
          <c:spPr>
            <a:solidFill>
              <a:srgbClr val="8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Employment'!$D$16:$AL$16</c:f>
              <c:numCache/>
            </c:numRef>
          </c:val>
        </c:ser>
        <c:ser>
          <c:idx val="13"/>
          <c:order val="13"/>
          <c:tx>
            <c:strRef>
              <c:f>'Annex 6 - Employment'!$B$17:$C$17</c:f>
              <c:strCache>
                <c:ptCount val="1"/>
                <c:pt idx="0">
                  <c:v>FSC - Admin and control</c:v>
                </c:pt>
              </c:strCache>
            </c:strRef>
          </c:tx>
          <c:spPr>
            <a:solidFill>
              <a:srgbClr val="80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Employment'!$D$17:$AL$17</c:f>
              <c:numCache/>
            </c:numRef>
          </c:val>
        </c:ser>
        <c:ser>
          <c:idx val="14"/>
          <c:order val="14"/>
          <c:tx>
            <c:strRef>
              <c:f>'Annex 6 - Employment'!$B$18:$C$18</c:f>
              <c:strCache>
                <c:ptCount val="1"/>
                <c:pt idx="0">
                  <c:v>Carbon - Admin, verification and control</c:v>
                </c:pt>
              </c:strCache>
            </c:strRef>
          </c:tx>
          <c:spPr>
            <a:solidFill>
              <a:srgbClr val="00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Employment'!$D$18:$AL$18</c:f>
              <c:numCache/>
            </c:numRef>
          </c:val>
        </c:ser>
        <c:ser>
          <c:idx val="15"/>
          <c:order val="15"/>
          <c:tx>
            <c:strRef>
              <c:f>'Annex 6 - Employment'!$B$19:$C$19</c:f>
              <c:strCache>
                <c:ptCount val="1"/>
                <c:pt idx="0">
                  <c:v>Carbon - Admin, verification and control</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Employment'!$D$19:$AL$19</c:f>
              <c:numCache/>
            </c:numRef>
          </c:val>
        </c:ser>
        <c:ser>
          <c:idx val="16"/>
          <c:order val="16"/>
          <c:tx>
            <c:strRef>
              <c:f>'Annex 6 - Employment'!$B$20:$C$20</c:f>
              <c:strCache>
                <c:ptCount val="1"/>
                <c:pt idx="0">
                  <c:v>Secondary employment generated</c:v>
                </c:pt>
              </c:strCache>
            </c:strRef>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Employment'!$D$20:$AL$20</c:f>
              <c:numCache/>
            </c:numRef>
          </c:val>
        </c:ser>
        <c:axId val="7958909"/>
        <c:axId val="4521318"/>
      </c:areaChart>
      <c:catAx>
        <c:axId val="795890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defRPr>
            </a:pPr>
          </a:p>
        </c:txPr>
        <c:crossAx val="4521318"/>
        <c:crosses val="autoZero"/>
        <c:auto val="1"/>
        <c:lblOffset val="100"/>
        <c:tickLblSkip val="2"/>
        <c:noMultiLvlLbl val="0"/>
      </c:catAx>
      <c:valAx>
        <c:axId val="4521318"/>
        <c:scaling>
          <c:orientation val="minMax"/>
        </c:scaling>
        <c:axPos val="l"/>
        <c:majorGridlines>
          <c:spPr>
            <a:ln w="3175">
              <a:solidFill>
                <a:srgbClr val="000000"/>
              </a:solidFill>
            </a:ln>
          </c:spPr>
        </c:majorGridlines>
        <c:delete val="0"/>
        <c:numFmt formatCode="_-* #,##0_-;\-* #,##0_-;_-* &quot;-&quot;??_-;_-@_-" sourceLinked="0"/>
        <c:majorTickMark val="out"/>
        <c:minorTickMark val="none"/>
        <c:tickLblPos val="nextTo"/>
        <c:spPr>
          <a:ln w="3175">
            <a:solidFill>
              <a:srgbClr val="000000"/>
            </a:solidFill>
          </a:ln>
        </c:spPr>
        <c:txPr>
          <a:bodyPr vert="horz" rot="0"/>
          <a:lstStyle/>
          <a:p>
            <a:pPr>
              <a:defRPr lang="en-US" cap="none" sz="1600" b="0" i="0" u="none" baseline="0">
                <a:solidFill>
                  <a:srgbClr val="000000"/>
                </a:solidFill>
              </a:defRPr>
            </a:pPr>
          </a:p>
        </c:txPr>
        <c:crossAx val="7958909"/>
        <c:crossesAt val="1"/>
        <c:crossBetween val="midCat"/>
        <c:dispUnits/>
      </c:valAx>
      <c:spPr>
        <a:solidFill>
          <a:srgbClr val="C0C0C0"/>
        </a:solidFill>
        <a:ln w="12700">
          <a:solidFill>
            <a:srgbClr val="808080"/>
          </a:solidFill>
        </a:ln>
      </c:spPr>
    </c:plotArea>
    <c:legend>
      <c:legendPos val="b"/>
      <c:legendEntry>
        <c:idx val="15"/>
        <c:delete val="1"/>
      </c:legendEntry>
      <c:layout>
        <c:manualLayout>
          <c:xMode val="edge"/>
          <c:yMode val="edge"/>
          <c:x val="0.00975"/>
          <c:y val="0.7545"/>
          <c:w val="0.9425"/>
          <c:h val="0.2245"/>
        </c:manualLayout>
      </c:layout>
      <c:overlay val="0"/>
      <c:spPr>
        <a:solidFill>
          <a:srgbClr val="FFFFFF"/>
        </a:solidFill>
        <a:ln w="3175">
          <a:noFill/>
        </a:ln>
      </c:spPr>
      <c:txPr>
        <a:bodyPr vert="horz" rot="0"/>
        <a:lstStyle/>
        <a:p>
          <a:pPr>
            <a:defRPr lang="en-US" cap="none" sz="135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4038600</xdr:colOff>
      <xdr:row>0</xdr:row>
      <xdr:rowOff>104775</xdr:rowOff>
    </xdr:from>
    <xdr:to>
      <xdr:col>0</xdr:col>
      <xdr:colOff>4857750</xdr:colOff>
      <xdr:row>6</xdr:row>
      <xdr:rowOff>9525</xdr:rowOff>
    </xdr:to>
    <xdr:pic>
      <xdr:nvPicPr>
        <xdr:cNvPr id="1" name="Picture 2" descr="logo"/>
        <xdr:cNvPicPr preferRelativeResize="1">
          <a:picLocks noChangeAspect="1"/>
        </xdr:cNvPicPr>
      </xdr:nvPicPr>
      <xdr:blipFill>
        <a:blip r:embed="rId1"/>
        <a:stretch>
          <a:fillRect/>
        </a:stretch>
      </xdr:blipFill>
      <xdr:spPr>
        <a:xfrm>
          <a:off x="4038600" y="104775"/>
          <a:ext cx="819150" cy="876300"/>
        </a:xfrm>
        <a:prstGeom prst="rect">
          <a:avLst/>
        </a:prstGeom>
        <a:noFill/>
        <a:ln w="9525" cmpd="sng">
          <a:noFill/>
        </a:ln>
      </xdr:spPr>
    </xdr:pic>
    <xdr:clientData/>
  </xdr:twoCellAnchor>
  <xdr:twoCellAnchor editAs="oneCell">
    <xdr:from>
      <xdr:col>0</xdr:col>
      <xdr:colOff>95250</xdr:colOff>
      <xdr:row>0</xdr:row>
      <xdr:rowOff>95250</xdr:rowOff>
    </xdr:from>
    <xdr:to>
      <xdr:col>0</xdr:col>
      <xdr:colOff>1933575</xdr:colOff>
      <xdr:row>5</xdr:row>
      <xdr:rowOff>123825</xdr:rowOff>
    </xdr:to>
    <xdr:pic>
      <xdr:nvPicPr>
        <xdr:cNvPr id="2" name="Picture 24" descr="Groasis-logo-met-punt-tran2"/>
        <xdr:cNvPicPr preferRelativeResize="1">
          <a:picLocks noChangeAspect="1"/>
        </xdr:cNvPicPr>
      </xdr:nvPicPr>
      <xdr:blipFill>
        <a:blip r:embed="rId2"/>
        <a:stretch>
          <a:fillRect/>
        </a:stretch>
      </xdr:blipFill>
      <xdr:spPr>
        <a:xfrm>
          <a:off x="95250" y="95250"/>
          <a:ext cx="183832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123825</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104</xdr:col>
      <xdr:colOff>266700</xdr:colOff>
      <xdr:row>0</xdr:row>
      <xdr:rowOff>19050</xdr:rowOff>
    </xdr:from>
    <xdr:to>
      <xdr:col>105</xdr:col>
      <xdr:colOff>209550</xdr:colOff>
      <xdr:row>1</xdr:row>
      <xdr:rowOff>152400</xdr:rowOff>
    </xdr:to>
    <xdr:pic>
      <xdr:nvPicPr>
        <xdr:cNvPr id="2" name="Picture 7" descr="logo"/>
        <xdr:cNvPicPr preferRelativeResize="1">
          <a:picLocks noChangeAspect="1"/>
        </xdr:cNvPicPr>
      </xdr:nvPicPr>
      <xdr:blipFill>
        <a:blip r:embed="rId2"/>
        <a:stretch>
          <a:fillRect/>
        </a:stretch>
      </xdr:blipFill>
      <xdr:spPr>
        <a:xfrm>
          <a:off x="32318325" y="19050"/>
          <a:ext cx="247650" cy="2952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0.57575</cdr:x>
      <cdr:y>0.42025</cdr:y>
    </cdr:from>
    <cdr:to>
      <cdr:x>0.58325</cdr:x>
      <cdr:y>0.43175</cdr:y>
    </cdr:to>
    <cdr:sp>
      <cdr:nvSpPr>
        <cdr:cNvPr id="1" name="Text Box 1"/>
        <cdr:cNvSpPr txBox="1">
          <a:spLocks noChangeArrowheads="1"/>
        </cdr:cNvSpPr>
      </cdr:nvSpPr>
      <cdr:spPr>
        <a:xfrm>
          <a:off x="6229350" y="3648075"/>
          <a:ext cx="85725" cy="95250"/>
        </a:xfrm>
        <a:prstGeom prst="rect">
          <a:avLst/>
        </a:prstGeom>
        <a:noFill/>
        <a:ln w="1" cmpd="sng">
          <a:noFill/>
        </a:ln>
      </cdr:spPr>
      <cdr:txBody>
        <a:bodyPr vertOverflow="clip" wrap="square" lIns="36576" tIns="22860" rIns="36576" bIns="22860" anchor="ctr"/>
        <a:p>
          <a:pPr algn="ctr">
            <a:defRPr/>
          </a:pPr>
          <a:r>
            <a:rPr lang="en-US" cap="none" sz="950" b="0" i="0" u="none" baseline="0">
              <a:solidFill>
                <a:srgbClr val="000000"/>
              </a:solidFill>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9525</xdr:rowOff>
    </xdr:from>
    <xdr:to>
      <xdr:col>1</xdr:col>
      <xdr:colOff>171450</xdr:colOff>
      <xdr:row>25</xdr:row>
      <xdr:rowOff>161925</xdr:rowOff>
    </xdr:to>
    <xdr:pic>
      <xdr:nvPicPr>
        <xdr:cNvPr id="1" name="Picture 1" descr="groasis logo"/>
        <xdr:cNvPicPr preferRelativeResize="1">
          <a:picLocks noChangeAspect="1"/>
        </xdr:cNvPicPr>
      </xdr:nvPicPr>
      <xdr:blipFill>
        <a:blip r:embed="rId1"/>
        <a:stretch>
          <a:fillRect/>
        </a:stretch>
      </xdr:blipFill>
      <xdr:spPr>
        <a:xfrm>
          <a:off x="0" y="3895725"/>
          <a:ext cx="781050" cy="314325"/>
        </a:xfrm>
        <a:prstGeom prst="rect">
          <a:avLst/>
        </a:prstGeom>
        <a:noFill/>
        <a:ln w="9525" cmpd="sng">
          <a:noFill/>
        </a:ln>
      </xdr:spPr>
    </xdr:pic>
    <xdr:clientData/>
  </xdr:twoCellAnchor>
  <xdr:twoCellAnchor>
    <xdr:from>
      <xdr:col>10</xdr:col>
      <xdr:colOff>542925</xdr:colOff>
      <xdr:row>24</xdr:row>
      <xdr:rowOff>19050</xdr:rowOff>
    </xdr:from>
    <xdr:to>
      <xdr:col>10</xdr:col>
      <xdr:colOff>790575</xdr:colOff>
      <xdr:row>25</xdr:row>
      <xdr:rowOff>152400</xdr:rowOff>
    </xdr:to>
    <xdr:pic>
      <xdr:nvPicPr>
        <xdr:cNvPr id="2" name="Picture 7" descr="logo"/>
        <xdr:cNvPicPr preferRelativeResize="1">
          <a:picLocks noChangeAspect="1"/>
        </xdr:cNvPicPr>
      </xdr:nvPicPr>
      <xdr:blipFill>
        <a:blip r:embed="rId2"/>
        <a:stretch>
          <a:fillRect/>
        </a:stretch>
      </xdr:blipFill>
      <xdr:spPr>
        <a:xfrm>
          <a:off x="10610850" y="3905250"/>
          <a:ext cx="247650" cy="295275"/>
        </a:xfrm>
        <a:prstGeom prst="rect">
          <a:avLst/>
        </a:prstGeom>
        <a:noFill/>
        <a:ln w="9525" cmpd="sng">
          <a:noFill/>
        </a:ln>
      </xdr:spPr>
    </xdr:pic>
    <xdr:clientData/>
  </xdr:twoCellAnchor>
  <xdr:twoCellAnchor>
    <xdr:from>
      <xdr:col>0</xdr:col>
      <xdr:colOff>76200</xdr:colOff>
      <xdr:row>27</xdr:row>
      <xdr:rowOff>142875</xdr:rowOff>
    </xdr:from>
    <xdr:to>
      <xdr:col>10</xdr:col>
      <xdr:colOff>838200</xdr:colOff>
      <xdr:row>81</xdr:row>
      <xdr:rowOff>95250</xdr:rowOff>
    </xdr:to>
    <xdr:graphicFrame>
      <xdr:nvGraphicFramePr>
        <xdr:cNvPr id="3" name="Chart 5"/>
        <xdr:cNvGraphicFramePr/>
      </xdr:nvGraphicFramePr>
      <xdr:xfrm>
        <a:off x="76200" y="4524375"/>
        <a:ext cx="10829925" cy="86963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2</xdr:col>
      <xdr:colOff>609600</xdr:colOff>
      <xdr:row>0</xdr:row>
      <xdr:rowOff>28575</xdr:rowOff>
    </xdr:from>
    <xdr:to>
      <xdr:col>2</xdr:col>
      <xdr:colOff>609600</xdr:colOff>
      <xdr:row>1</xdr:row>
      <xdr:rowOff>161925</xdr:rowOff>
    </xdr:to>
    <xdr:pic>
      <xdr:nvPicPr>
        <xdr:cNvPr id="2" name="Picture 2" descr="logo"/>
        <xdr:cNvPicPr preferRelativeResize="1">
          <a:picLocks noChangeAspect="1"/>
        </xdr:cNvPicPr>
      </xdr:nvPicPr>
      <xdr:blipFill>
        <a:blip r:embed="rId2"/>
        <a:stretch>
          <a:fillRect/>
        </a:stretch>
      </xdr:blipFill>
      <xdr:spPr>
        <a:xfrm>
          <a:off x="3790950" y="28575"/>
          <a:ext cx="0" cy="295275"/>
        </a:xfrm>
        <a:prstGeom prst="rect">
          <a:avLst/>
        </a:prstGeom>
        <a:noFill/>
        <a:ln w="9525" cmpd="sng">
          <a:noFill/>
        </a:ln>
      </xdr:spPr>
    </xdr:pic>
    <xdr:clientData/>
  </xdr:twoCellAnchor>
  <xdr:twoCellAnchor>
    <xdr:from>
      <xdr:col>7</xdr:col>
      <xdr:colOff>466725</xdr:colOff>
      <xdr:row>0</xdr:row>
      <xdr:rowOff>28575</xdr:rowOff>
    </xdr:from>
    <xdr:to>
      <xdr:col>8</xdr:col>
      <xdr:colOff>104775</xdr:colOff>
      <xdr:row>1</xdr:row>
      <xdr:rowOff>161925</xdr:rowOff>
    </xdr:to>
    <xdr:pic>
      <xdr:nvPicPr>
        <xdr:cNvPr id="3" name="Picture 2" descr="logo"/>
        <xdr:cNvPicPr preferRelativeResize="1">
          <a:picLocks noChangeAspect="1"/>
        </xdr:cNvPicPr>
      </xdr:nvPicPr>
      <xdr:blipFill>
        <a:blip r:embed="rId2"/>
        <a:stretch>
          <a:fillRect/>
        </a:stretch>
      </xdr:blipFill>
      <xdr:spPr>
        <a:xfrm>
          <a:off x="6276975" y="28575"/>
          <a:ext cx="2476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2</xdr:col>
      <xdr:colOff>590550</xdr:colOff>
      <xdr:row>0</xdr:row>
      <xdr:rowOff>28575</xdr:rowOff>
    </xdr:from>
    <xdr:to>
      <xdr:col>2</xdr:col>
      <xdr:colOff>866775</xdr:colOff>
      <xdr:row>1</xdr:row>
      <xdr:rowOff>161925</xdr:rowOff>
    </xdr:to>
    <xdr:pic>
      <xdr:nvPicPr>
        <xdr:cNvPr id="2" name="Picture 2" descr="logo"/>
        <xdr:cNvPicPr preferRelativeResize="1">
          <a:picLocks noChangeAspect="1"/>
        </xdr:cNvPicPr>
      </xdr:nvPicPr>
      <xdr:blipFill>
        <a:blip r:embed="rId2"/>
        <a:stretch>
          <a:fillRect/>
        </a:stretch>
      </xdr:blipFill>
      <xdr:spPr>
        <a:xfrm>
          <a:off x="4781550" y="28575"/>
          <a:ext cx="2762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editAs="oneCell">
    <xdr:from>
      <xdr:col>22</xdr:col>
      <xdr:colOff>76200</xdr:colOff>
      <xdr:row>0</xdr:row>
      <xdr:rowOff>0</xdr:rowOff>
    </xdr:from>
    <xdr:to>
      <xdr:col>23</xdr:col>
      <xdr:colOff>209550</xdr:colOff>
      <xdr:row>1</xdr:row>
      <xdr:rowOff>152400</xdr:rowOff>
    </xdr:to>
    <xdr:pic>
      <xdr:nvPicPr>
        <xdr:cNvPr id="2" name="Picture 4" descr="groasis logo"/>
        <xdr:cNvPicPr preferRelativeResize="1">
          <a:picLocks noChangeAspect="1"/>
        </xdr:cNvPicPr>
      </xdr:nvPicPr>
      <xdr:blipFill>
        <a:blip r:embed="rId1"/>
        <a:stretch>
          <a:fillRect/>
        </a:stretch>
      </xdr:blipFill>
      <xdr:spPr>
        <a:xfrm>
          <a:off x="15716250" y="0"/>
          <a:ext cx="781050" cy="314325"/>
        </a:xfrm>
        <a:prstGeom prst="rect">
          <a:avLst/>
        </a:prstGeom>
        <a:noFill/>
        <a:ln w="9525" cmpd="sng">
          <a:noFill/>
        </a:ln>
      </xdr:spPr>
    </xdr:pic>
    <xdr:clientData/>
  </xdr:twoCellAnchor>
  <xdr:twoCellAnchor>
    <xdr:from>
      <xdr:col>43</xdr:col>
      <xdr:colOff>257175</xdr:colOff>
      <xdr:row>0</xdr:row>
      <xdr:rowOff>28575</xdr:rowOff>
    </xdr:from>
    <xdr:to>
      <xdr:col>43</xdr:col>
      <xdr:colOff>504825</xdr:colOff>
      <xdr:row>1</xdr:row>
      <xdr:rowOff>161925</xdr:rowOff>
    </xdr:to>
    <xdr:pic>
      <xdr:nvPicPr>
        <xdr:cNvPr id="3" name="Picture 6" descr="logo"/>
        <xdr:cNvPicPr preferRelativeResize="1">
          <a:picLocks noChangeAspect="1"/>
        </xdr:cNvPicPr>
      </xdr:nvPicPr>
      <xdr:blipFill>
        <a:blip r:embed="rId2"/>
        <a:stretch>
          <a:fillRect/>
        </a:stretch>
      </xdr:blipFill>
      <xdr:spPr>
        <a:xfrm>
          <a:off x="28946475" y="28575"/>
          <a:ext cx="247650" cy="295275"/>
        </a:xfrm>
        <a:prstGeom prst="rect">
          <a:avLst/>
        </a:prstGeom>
        <a:noFill/>
        <a:ln w="9525" cmpd="sng">
          <a:noFill/>
        </a:ln>
      </xdr:spPr>
    </xdr:pic>
    <xdr:clientData/>
  </xdr:twoCellAnchor>
  <xdr:twoCellAnchor>
    <xdr:from>
      <xdr:col>20</xdr:col>
      <xdr:colOff>266700</xdr:colOff>
      <xdr:row>0</xdr:row>
      <xdr:rowOff>19050</xdr:rowOff>
    </xdr:from>
    <xdr:to>
      <xdr:col>20</xdr:col>
      <xdr:colOff>514350</xdr:colOff>
      <xdr:row>1</xdr:row>
      <xdr:rowOff>152400</xdr:rowOff>
    </xdr:to>
    <xdr:pic>
      <xdr:nvPicPr>
        <xdr:cNvPr id="4" name="Picture 7" descr="logo"/>
        <xdr:cNvPicPr preferRelativeResize="1">
          <a:picLocks noChangeAspect="1"/>
        </xdr:cNvPicPr>
      </xdr:nvPicPr>
      <xdr:blipFill>
        <a:blip r:embed="rId2"/>
        <a:stretch>
          <a:fillRect/>
        </a:stretch>
      </xdr:blipFill>
      <xdr:spPr>
        <a:xfrm>
          <a:off x="14611350" y="19050"/>
          <a:ext cx="2476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5</xdr:col>
      <xdr:colOff>847725</xdr:colOff>
      <xdr:row>0</xdr:row>
      <xdr:rowOff>0</xdr:rowOff>
    </xdr:from>
    <xdr:to>
      <xdr:col>5</xdr:col>
      <xdr:colOff>1095375</xdr:colOff>
      <xdr:row>1</xdr:row>
      <xdr:rowOff>133350</xdr:rowOff>
    </xdr:to>
    <xdr:pic>
      <xdr:nvPicPr>
        <xdr:cNvPr id="2" name="Picture 2" descr="logo"/>
        <xdr:cNvPicPr preferRelativeResize="1">
          <a:picLocks noChangeAspect="1"/>
        </xdr:cNvPicPr>
      </xdr:nvPicPr>
      <xdr:blipFill>
        <a:blip r:embed="rId2"/>
        <a:stretch>
          <a:fillRect/>
        </a:stretch>
      </xdr:blipFill>
      <xdr:spPr>
        <a:xfrm>
          <a:off x="7686675" y="0"/>
          <a:ext cx="247650"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19050</xdr:rowOff>
    </xdr:from>
    <xdr:to>
      <xdr:col>12</xdr:col>
      <xdr:colOff>171450</xdr:colOff>
      <xdr:row>37</xdr:row>
      <xdr:rowOff>123825</xdr:rowOff>
    </xdr:to>
    <xdr:graphicFrame>
      <xdr:nvGraphicFramePr>
        <xdr:cNvPr id="1" name="Chart 1"/>
        <xdr:cNvGraphicFramePr/>
      </xdr:nvGraphicFramePr>
      <xdr:xfrm>
        <a:off x="114300" y="1485900"/>
        <a:ext cx="9096375"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7</xdr:row>
      <xdr:rowOff>9525</xdr:rowOff>
    </xdr:from>
    <xdr:to>
      <xdr:col>1</xdr:col>
      <xdr:colOff>171450</xdr:colOff>
      <xdr:row>8</xdr:row>
      <xdr:rowOff>161925</xdr:rowOff>
    </xdr:to>
    <xdr:pic>
      <xdr:nvPicPr>
        <xdr:cNvPr id="2" name="Picture 1" descr="groasis logo"/>
        <xdr:cNvPicPr preferRelativeResize="1">
          <a:picLocks noChangeAspect="1"/>
        </xdr:cNvPicPr>
      </xdr:nvPicPr>
      <xdr:blipFill>
        <a:blip r:embed="rId2"/>
        <a:stretch>
          <a:fillRect/>
        </a:stretch>
      </xdr:blipFill>
      <xdr:spPr>
        <a:xfrm>
          <a:off x="0" y="1143000"/>
          <a:ext cx="781050" cy="314325"/>
        </a:xfrm>
        <a:prstGeom prst="rect">
          <a:avLst/>
        </a:prstGeom>
        <a:noFill/>
        <a:ln w="9525" cmpd="sng">
          <a:noFill/>
        </a:ln>
      </xdr:spPr>
    </xdr:pic>
    <xdr:clientData/>
  </xdr:twoCellAnchor>
  <xdr:twoCellAnchor>
    <xdr:from>
      <xdr:col>12</xdr:col>
      <xdr:colOff>190500</xdr:colOff>
      <xdr:row>7</xdr:row>
      <xdr:rowOff>19050</xdr:rowOff>
    </xdr:from>
    <xdr:to>
      <xdr:col>12</xdr:col>
      <xdr:colOff>438150</xdr:colOff>
      <xdr:row>8</xdr:row>
      <xdr:rowOff>152400</xdr:rowOff>
    </xdr:to>
    <xdr:pic>
      <xdr:nvPicPr>
        <xdr:cNvPr id="3" name="Picture 7" descr="logo"/>
        <xdr:cNvPicPr preferRelativeResize="1">
          <a:picLocks noChangeAspect="1"/>
        </xdr:cNvPicPr>
      </xdr:nvPicPr>
      <xdr:blipFill>
        <a:blip r:embed="rId3"/>
        <a:stretch>
          <a:fillRect/>
        </a:stretch>
      </xdr:blipFill>
      <xdr:spPr>
        <a:xfrm>
          <a:off x="9229725" y="1152525"/>
          <a:ext cx="24765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0</xdr:rowOff>
    </xdr:from>
    <xdr:to>
      <xdr:col>12</xdr:col>
      <xdr:colOff>161925</xdr:colOff>
      <xdr:row>41</xdr:row>
      <xdr:rowOff>104775</xdr:rowOff>
    </xdr:to>
    <xdr:graphicFrame>
      <xdr:nvGraphicFramePr>
        <xdr:cNvPr id="1" name="Chart 1"/>
        <xdr:cNvGraphicFramePr/>
      </xdr:nvGraphicFramePr>
      <xdr:xfrm>
        <a:off x="114300" y="2114550"/>
        <a:ext cx="8172450"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10</xdr:row>
      <xdr:rowOff>9525</xdr:rowOff>
    </xdr:from>
    <xdr:to>
      <xdr:col>1</xdr:col>
      <xdr:colOff>171450</xdr:colOff>
      <xdr:row>11</xdr:row>
      <xdr:rowOff>161925</xdr:rowOff>
    </xdr:to>
    <xdr:pic>
      <xdr:nvPicPr>
        <xdr:cNvPr id="2" name="Picture 1" descr="groasis logo"/>
        <xdr:cNvPicPr preferRelativeResize="1">
          <a:picLocks noChangeAspect="1"/>
        </xdr:cNvPicPr>
      </xdr:nvPicPr>
      <xdr:blipFill>
        <a:blip r:embed="rId2"/>
        <a:stretch>
          <a:fillRect/>
        </a:stretch>
      </xdr:blipFill>
      <xdr:spPr>
        <a:xfrm>
          <a:off x="0" y="1628775"/>
          <a:ext cx="781050" cy="314325"/>
        </a:xfrm>
        <a:prstGeom prst="rect">
          <a:avLst/>
        </a:prstGeom>
        <a:noFill/>
        <a:ln w="9525" cmpd="sng">
          <a:noFill/>
        </a:ln>
      </xdr:spPr>
    </xdr:pic>
    <xdr:clientData/>
  </xdr:twoCellAnchor>
  <xdr:twoCellAnchor>
    <xdr:from>
      <xdr:col>12</xdr:col>
      <xdr:colOff>190500</xdr:colOff>
      <xdr:row>10</xdr:row>
      <xdr:rowOff>19050</xdr:rowOff>
    </xdr:from>
    <xdr:to>
      <xdr:col>12</xdr:col>
      <xdr:colOff>438150</xdr:colOff>
      <xdr:row>11</xdr:row>
      <xdr:rowOff>152400</xdr:rowOff>
    </xdr:to>
    <xdr:pic>
      <xdr:nvPicPr>
        <xdr:cNvPr id="3" name="Picture 7" descr="logo"/>
        <xdr:cNvPicPr preferRelativeResize="1">
          <a:picLocks noChangeAspect="1"/>
        </xdr:cNvPicPr>
      </xdr:nvPicPr>
      <xdr:blipFill>
        <a:blip r:embed="rId3"/>
        <a:stretch>
          <a:fillRect/>
        </a:stretch>
      </xdr:blipFill>
      <xdr:spPr>
        <a:xfrm>
          <a:off x="8315325" y="1638300"/>
          <a:ext cx="2476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47625</xdr:rowOff>
    </xdr:from>
    <xdr:to>
      <xdr:col>12</xdr:col>
      <xdr:colOff>228600</xdr:colOff>
      <xdr:row>37</xdr:row>
      <xdr:rowOff>152400</xdr:rowOff>
    </xdr:to>
    <xdr:graphicFrame>
      <xdr:nvGraphicFramePr>
        <xdr:cNvPr id="1" name="Chart 1"/>
        <xdr:cNvGraphicFramePr/>
      </xdr:nvGraphicFramePr>
      <xdr:xfrm>
        <a:off x="180975" y="1514475"/>
        <a:ext cx="7734300"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7</xdr:row>
      <xdr:rowOff>9525</xdr:rowOff>
    </xdr:from>
    <xdr:to>
      <xdr:col>1</xdr:col>
      <xdr:colOff>171450</xdr:colOff>
      <xdr:row>8</xdr:row>
      <xdr:rowOff>161925</xdr:rowOff>
    </xdr:to>
    <xdr:pic>
      <xdr:nvPicPr>
        <xdr:cNvPr id="2" name="Picture 1" descr="groasis logo"/>
        <xdr:cNvPicPr preferRelativeResize="1">
          <a:picLocks noChangeAspect="1"/>
        </xdr:cNvPicPr>
      </xdr:nvPicPr>
      <xdr:blipFill>
        <a:blip r:embed="rId2"/>
        <a:stretch>
          <a:fillRect/>
        </a:stretch>
      </xdr:blipFill>
      <xdr:spPr>
        <a:xfrm>
          <a:off x="0" y="1143000"/>
          <a:ext cx="781050" cy="314325"/>
        </a:xfrm>
        <a:prstGeom prst="rect">
          <a:avLst/>
        </a:prstGeom>
        <a:noFill/>
        <a:ln w="9525" cmpd="sng">
          <a:noFill/>
        </a:ln>
      </xdr:spPr>
    </xdr:pic>
    <xdr:clientData/>
  </xdr:twoCellAnchor>
  <xdr:twoCellAnchor>
    <xdr:from>
      <xdr:col>12</xdr:col>
      <xdr:colOff>190500</xdr:colOff>
      <xdr:row>7</xdr:row>
      <xdr:rowOff>19050</xdr:rowOff>
    </xdr:from>
    <xdr:to>
      <xdr:col>12</xdr:col>
      <xdr:colOff>438150</xdr:colOff>
      <xdr:row>8</xdr:row>
      <xdr:rowOff>152400</xdr:rowOff>
    </xdr:to>
    <xdr:pic>
      <xdr:nvPicPr>
        <xdr:cNvPr id="3" name="Picture 7" descr="logo"/>
        <xdr:cNvPicPr preferRelativeResize="1">
          <a:picLocks noChangeAspect="1"/>
        </xdr:cNvPicPr>
      </xdr:nvPicPr>
      <xdr:blipFill>
        <a:blip r:embed="rId3"/>
        <a:stretch>
          <a:fillRect/>
        </a:stretch>
      </xdr:blipFill>
      <xdr:spPr>
        <a:xfrm>
          <a:off x="7877175" y="1152525"/>
          <a:ext cx="247650" cy="295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16</xdr:col>
      <xdr:colOff>581025</xdr:colOff>
      <xdr:row>29</xdr:row>
      <xdr:rowOff>114300</xdr:rowOff>
    </xdr:to>
    <xdr:graphicFrame>
      <xdr:nvGraphicFramePr>
        <xdr:cNvPr id="1" name="Chart 2"/>
        <xdr:cNvGraphicFramePr/>
      </xdr:nvGraphicFramePr>
      <xdr:xfrm>
        <a:off x="38100" y="390525"/>
        <a:ext cx="10296525" cy="4429125"/>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11</xdr:row>
      <xdr:rowOff>0</xdr:rowOff>
    </xdr:from>
    <xdr:to>
      <xdr:col>5</xdr:col>
      <xdr:colOff>590550</xdr:colOff>
      <xdr:row>24</xdr:row>
      <xdr:rowOff>28575</xdr:rowOff>
    </xdr:to>
    <xdr:sp>
      <xdr:nvSpPr>
        <xdr:cNvPr id="2" name="Line 3"/>
        <xdr:cNvSpPr>
          <a:spLocks/>
        </xdr:cNvSpPr>
      </xdr:nvSpPr>
      <xdr:spPr>
        <a:xfrm flipV="1">
          <a:off x="3638550" y="1790700"/>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200025</xdr:colOff>
      <xdr:row>9</xdr:row>
      <xdr:rowOff>142875</xdr:rowOff>
    </xdr:from>
    <xdr:ext cx="771525" cy="381000"/>
    <xdr:sp>
      <xdr:nvSpPr>
        <xdr:cNvPr id="3" name="Text Box 4"/>
        <xdr:cNvSpPr txBox="1">
          <a:spLocks noChangeArrowheads="1"/>
        </xdr:cNvSpPr>
      </xdr:nvSpPr>
      <xdr:spPr>
        <a:xfrm>
          <a:off x="3248025" y="1609725"/>
          <a:ext cx="771525" cy="381000"/>
        </a:xfrm>
        <a:prstGeom prst="rect">
          <a:avLst/>
        </a:prstGeom>
        <a:solidFill>
          <a:srgbClr val="FFFFFF"/>
        </a:solidFill>
        <a:ln w="25400" cmpd="sng">
          <a:solidFill>
            <a:srgbClr val="0000FF"/>
          </a:solidFill>
          <a:headEnd type="none"/>
          <a:tailEnd type="none"/>
        </a:ln>
      </xdr:spPr>
      <xdr:txBody>
        <a:bodyPr vertOverflow="clip" wrap="square" lIns="27432" tIns="27432" rIns="27432" bIns="0">
          <a:spAutoFit/>
        </a:bodyPr>
        <a:p>
          <a:pPr algn="ctr">
            <a:defRPr/>
          </a:pPr>
          <a:r>
            <a:rPr lang="en-US" cap="none" sz="1000" b="1" i="0" u="none" baseline="0">
              <a:solidFill>
                <a:srgbClr val="000000"/>
              </a:solidFill>
              <a:latin typeface="Arial"/>
              <a:ea typeface="Arial"/>
              <a:cs typeface="Arial"/>
            </a:rPr>
            <a:t>Break even
</a:t>
          </a:r>
          <a:r>
            <a:rPr lang="en-US" cap="none" sz="1000" b="1" i="0" u="none" baseline="0">
              <a:solidFill>
                <a:srgbClr val="000000"/>
              </a:solidFill>
              <a:latin typeface="Arial"/>
              <a:ea typeface="Arial"/>
              <a:cs typeface="Arial"/>
            </a:rPr>
            <a:t>in 2019</a:t>
          </a:r>
        </a:p>
      </xdr:txBody>
    </xdr:sp>
    <xdr:clientData/>
  </xdr:oneCellAnchor>
  <xdr:twoCellAnchor editAs="oneCell">
    <xdr:from>
      <xdr:col>0</xdr:col>
      <xdr:colOff>0</xdr:colOff>
      <xdr:row>0</xdr:row>
      <xdr:rowOff>9525</xdr:rowOff>
    </xdr:from>
    <xdr:to>
      <xdr:col>1</xdr:col>
      <xdr:colOff>171450</xdr:colOff>
      <xdr:row>1</xdr:row>
      <xdr:rowOff>161925</xdr:rowOff>
    </xdr:to>
    <xdr:pic>
      <xdr:nvPicPr>
        <xdr:cNvPr id="4" name="Picture 1" descr="groasis logo"/>
        <xdr:cNvPicPr preferRelativeResize="1">
          <a:picLocks noChangeAspect="1"/>
        </xdr:cNvPicPr>
      </xdr:nvPicPr>
      <xdr:blipFill>
        <a:blip r:embed="rId2"/>
        <a:stretch>
          <a:fillRect/>
        </a:stretch>
      </xdr:blipFill>
      <xdr:spPr>
        <a:xfrm>
          <a:off x="0" y="9525"/>
          <a:ext cx="781050" cy="314325"/>
        </a:xfrm>
        <a:prstGeom prst="rect">
          <a:avLst/>
        </a:prstGeom>
        <a:noFill/>
        <a:ln w="9525" cmpd="sng">
          <a:noFill/>
        </a:ln>
      </xdr:spPr>
    </xdr:pic>
    <xdr:clientData/>
  </xdr:twoCellAnchor>
  <xdr:twoCellAnchor>
    <xdr:from>
      <xdr:col>16</xdr:col>
      <xdr:colOff>295275</xdr:colOff>
      <xdr:row>0</xdr:row>
      <xdr:rowOff>0</xdr:rowOff>
    </xdr:from>
    <xdr:to>
      <xdr:col>16</xdr:col>
      <xdr:colOff>542925</xdr:colOff>
      <xdr:row>1</xdr:row>
      <xdr:rowOff>133350</xdr:rowOff>
    </xdr:to>
    <xdr:pic>
      <xdr:nvPicPr>
        <xdr:cNvPr id="5" name="Picture 7" descr="logo"/>
        <xdr:cNvPicPr preferRelativeResize="1">
          <a:picLocks noChangeAspect="1"/>
        </xdr:cNvPicPr>
      </xdr:nvPicPr>
      <xdr:blipFill>
        <a:blip r:embed="rId3"/>
        <a:stretch>
          <a:fillRect/>
        </a:stretch>
      </xdr:blipFill>
      <xdr:spPr>
        <a:xfrm>
          <a:off x="10048875" y="0"/>
          <a:ext cx="2476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aquaproholla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0"/>
  </sheetPr>
  <dimension ref="A1:A26"/>
  <sheetViews>
    <sheetView tabSelected="1" zoomScalePageLayoutView="0" workbookViewId="0" topLeftCell="A1">
      <selection activeCell="A9" sqref="A9"/>
    </sheetView>
  </sheetViews>
  <sheetFormatPr defaultColWidth="9.140625" defaultRowHeight="12.75"/>
  <cols>
    <col min="1" max="1" width="78.421875" style="57" customWidth="1"/>
    <col min="2" max="16384" width="9.140625" style="57" customWidth="1"/>
  </cols>
  <sheetData>
    <row r="1" ht="12.75">
      <c r="A1" s="16"/>
    </row>
    <row r="2" ht="12.75">
      <c r="A2" s="16"/>
    </row>
    <row r="3" ht="12.75">
      <c r="A3" s="16"/>
    </row>
    <row r="4" ht="12.75">
      <c r="A4" s="16"/>
    </row>
    <row r="5" ht="12.75">
      <c r="A5" s="16"/>
    </row>
    <row r="6" ht="12.75">
      <c r="A6" s="16"/>
    </row>
    <row r="7" ht="152.25" customHeight="1">
      <c r="A7" s="62" t="s">
        <v>251</v>
      </c>
    </row>
    <row r="8" ht="31.5">
      <c r="A8" s="64"/>
    </row>
    <row r="9" ht="31.5">
      <c r="A9" s="63" t="s">
        <v>402</v>
      </c>
    </row>
    <row r="10" ht="15.75">
      <c r="A10" s="146" t="str">
        <f>CONCATENATE('Input and Output'!C27," ",'Input and Output'!D4," ",'Input and Output'!B4)</f>
        <v>Africa 500000 ha</v>
      </c>
    </row>
    <row r="11" ht="16.5" thickBot="1">
      <c r="A11" s="52"/>
    </row>
    <row r="12" ht="12.75">
      <c r="A12" s="239" t="s">
        <v>340</v>
      </c>
    </row>
    <row r="13" ht="13.5" thickBot="1">
      <c r="A13" s="240" t="s">
        <v>341</v>
      </c>
    </row>
    <row r="16" ht="15.75">
      <c r="A16" s="55"/>
    </row>
    <row r="17" ht="15.75">
      <c r="A17" s="55"/>
    </row>
    <row r="18" ht="12.75">
      <c r="A18" s="16"/>
    </row>
    <row r="19" ht="12.75">
      <c r="A19" s="16"/>
    </row>
    <row r="20" ht="12.75">
      <c r="A20" s="16"/>
    </row>
    <row r="21" ht="15.75">
      <c r="A21" s="52" t="s">
        <v>76</v>
      </c>
    </row>
    <row r="22" ht="15.75">
      <c r="A22" s="53" t="s">
        <v>77</v>
      </c>
    </row>
    <row r="23" ht="15.75">
      <c r="A23" s="54" t="s">
        <v>78</v>
      </c>
    </row>
    <row r="25" ht="12.75">
      <c r="A25" s="16"/>
    </row>
    <row r="26" ht="12.75">
      <c r="A26" s="9" t="s">
        <v>342</v>
      </c>
    </row>
  </sheetData>
  <sheetProtection/>
  <hyperlinks>
    <hyperlink ref="A22" r:id="rId1" display="phoff@aquaproholland.com"/>
  </hyperlinks>
  <printOptions/>
  <pageMargins left="0.75" right="0.75" top="1" bottom="1" header="0.5" footer="0.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Q2"/>
  <sheetViews>
    <sheetView zoomScalePageLayoutView="0" workbookViewId="0" topLeftCell="A1">
      <selection activeCell="A1" sqref="A1"/>
    </sheetView>
  </sheetViews>
  <sheetFormatPr defaultColWidth="9.140625" defaultRowHeight="12.75"/>
  <sheetData>
    <row r="1" spans="1:13" ht="12.75">
      <c r="A1" s="1"/>
      <c r="B1" s="15"/>
      <c r="C1" s="2"/>
      <c r="D1" s="5"/>
      <c r="E1" s="5"/>
      <c r="F1" s="5"/>
      <c r="G1" s="5"/>
      <c r="H1" s="1"/>
      <c r="I1" s="1"/>
      <c r="J1" s="1"/>
      <c r="K1" s="1"/>
      <c r="L1" s="1"/>
      <c r="M1" s="1"/>
    </row>
    <row r="2" spans="1:17" ht="13.5" thickBot="1">
      <c r="A2" s="22"/>
      <c r="B2" s="23"/>
      <c r="C2" s="22"/>
      <c r="D2" s="21"/>
      <c r="E2" s="21"/>
      <c r="F2" s="21"/>
      <c r="G2" s="21"/>
      <c r="H2" s="22"/>
      <c r="I2" s="22"/>
      <c r="J2" s="22"/>
      <c r="K2" s="22"/>
      <c r="L2" s="22"/>
      <c r="M2" s="22"/>
      <c r="N2" s="22"/>
      <c r="O2" s="22"/>
      <c r="P2" s="22"/>
      <c r="Q2" s="22"/>
    </row>
  </sheetData>
  <sheetProtection/>
  <printOptions/>
  <pageMargins left="0.75" right="0.75" top="1" bottom="1" header="0.5" footer="0.5"/>
  <pageSetup horizontalDpi="1200" verticalDpi="1200" orientation="landscape"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DB114"/>
  <sheetViews>
    <sheetView zoomScale="60" zoomScaleNormal="60" zoomScalePageLayoutView="0" workbookViewId="0" topLeftCell="A1">
      <selection activeCell="D1" sqref="D1"/>
    </sheetView>
  </sheetViews>
  <sheetFormatPr defaultColWidth="9.140625" defaultRowHeight="12.75"/>
  <cols>
    <col min="1" max="1" width="9.8515625" style="1" customWidth="1"/>
    <col min="2" max="101" width="4.57421875" style="1" customWidth="1"/>
    <col min="102" max="106" width="4.57421875" style="5" customWidth="1"/>
    <col min="107" max="16384" width="9.140625" style="5" customWidth="1"/>
  </cols>
  <sheetData>
    <row r="1" ht="12.75"/>
    <row r="2" spans="1:106" ht="13.5"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1"/>
      <c r="CY2" s="21"/>
      <c r="CZ2" s="21"/>
      <c r="DA2" s="21"/>
      <c r="DB2" s="21"/>
    </row>
    <row r="3" spans="1:17" ht="23.25">
      <c r="A3" s="183" t="s">
        <v>138</v>
      </c>
      <c r="B3" s="184"/>
      <c r="C3" s="184"/>
      <c r="D3" s="184"/>
      <c r="E3" s="184"/>
      <c r="F3" s="184"/>
      <c r="G3" s="184"/>
      <c r="H3" s="184"/>
      <c r="I3" s="184"/>
      <c r="J3" s="184"/>
      <c r="K3" s="184"/>
      <c r="L3" s="184"/>
      <c r="M3" s="184"/>
      <c r="N3" s="184"/>
      <c r="O3" s="184"/>
      <c r="P3" s="184"/>
      <c r="Q3" s="184"/>
    </row>
    <row r="4" spans="1:17" ht="23.25">
      <c r="A4" s="184"/>
      <c r="B4" s="185"/>
      <c r="C4" s="184"/>
      <c r="D4" s="184" t="s">
        <v>139</v>
      </c>
      <c r="E4" s="184"/>
      <c r="F4" s="184"/>
      <c r="G4" s="184"/>
      <c r="H4" s="184"/>
      <c r="I4" s="184"/>
      <c r="J4" s="184"/>
      <c r="K4" s="184"/>
      <c r="L4" s="184"/>
      <c r="M4" s="184"/>
      <c r="N4" s="184" t="s">
        <v>219</v>
      </c>
      <c r="O4" s="184"/>
      <c r="P4" s="184"/>
      <c r="Q4" s="184"/>
    </row>
    <row r="5" spans="1:17" ht="23.25">
      <c r="A5" s="184"/>
      <c r="B5" s="186"/>
      <c r="C5" s="184"/>
      <c r="D5" s="184" t="s">
        <v>140</v>
      </c>
      <c r="E5" s="184"/>
      <c r="F5" s="184"/>
      <c r="G5" s="184"/>
      <c r="H5" s="184"/>
      <c r="I5" s="184"/>
      <c r="J5" s="184"/>
      <c r="K5" s="184"/>
      <c r="L5" s="184"/>
      <c r="M5" s="184"/>
      <c r="N5" s="184" t="s">
        <v>220</v>
      </c>
      <c r="O5" s="184"/>
      <c r="P5" s="184"/>
      <c r="Q5" s="184"/>
    </row>
    <row r="6" spans="1:17" ht="23.25">
      <c r="A6" s="184"/>
      <c r="B6" s="184"/>
      <c r="C6" s="184"/>
      <c r="D6" s="184"/>
      <c r="E6" s="184"/>
      <c r="F6" s="184"/>
      <c r="G6" s="184"/>
      <c r="H6" s="184"/>
      <c r="I6" s="184"/>
      <c r="J6" s="184"/>
      <c r="K6" s="184"/>
      <c r="L6" s="184"/>
      <c r="M6" s="184"/>
      <c r="N6" s="184"/>
      <c r="O6" s="184"/>
      <c r="P6" s="184"/>
      <c r="Q6" s="184"/>
    </row>
    <row r="7" spans="1:17" ht="23.25">
      <c r="A7" s="183" t="s">
        <v>296</v>
      </c>
      <c r="B7" s="184"/>
      <c r="C7" s="184"/>
      <c r="D7" s="184"/>
      <c r="E7" s="184"/>
      <c r="F7" s="184"/>
      <c r="G7" s="184"/>
      <c r="H7" s="184"/>
      <c r="I7" s="184"/>
      <c r="J7" s="184"/>
      <c r="K7" s="184"/>
      <c r="L7" s="184"/>
      <c r="M7" s="184"/>
      <c r="N7" s="184"/>
      <c r="O7" s="184"/>
      <c r="P7" s="184"/>
      <c r="Q7" s="184"/>
    </row>
    <row r="8" spans="2:106" ht="34.5" customHeight="1">
      <c r="B8" s="1">
        <v>1</v>
      </c>
      <c r="C8" s="1">
        <v>2</v>
      </c>
      <c r="D8" s="1">
        <v>3</v>
      </c>
      <c r="E8" s="1">
        <v>4</v>
      </c>
      <c r="F8" s="1">
        <v>5</v>
      </c>
      <c r="G8" s="1">
        <v>6</v>
      </c>
      <c r="H8" s="1">
        <v>7</v>
      </c>
      <c r="I8" s="1">
        <v>8</v>
      </c>
      <c r="J8" s="1">
        <v>9</v>
      </c>
      <c r="K8" s="1">
        <v>10</v>
      </c>
      <c r="L8" s="1">
        <v>11</v>
      </c>
      <c r="M8" s="1">
        <v>12</v>
      </c>
      <c r="N8" s="1">
        <v>13</v>
      </c>
      <c r="O8" s="1">
        <v>14</v>
      </c>
      <c r="P8" s="1">
        <v>15</v>
      </c>
      <c r="Q8" s="1">
        <v>16</v>
      </c>
      <c r="R8" s="1">
        <v>17</v>
      </c>
      <c r="S8" s="1">
        <v>18</v>
      </c>
      <c r="T8" s="1">
        <v>19</v>
      </c>
      <c r="U8" s="1">
        <v>20</v>
      </c>
      <c r="V8" s="1">
        <v>21</v>
      </c>
      <c r="W8" s="1">
        <v>22</v>
      </c>
      <c r="X8" s="1">
        <v>23</v>
      </c>
      <c r="Y8" s="1">
        <v>24</v>
      </c>
      <c r="Z8" s="1">
        <v>25</v>
      </c>
      <c r="AA8" s="1">
        <v>26</v>
      </c>
      <c r="AB8" s="1">
        <v>27</v>
      </c>
      <c r="AC8" s="1">
        <v>28</v>
      </c>
      <c r="AD8" s="1">
        <v>29</v>
      </c>
      <c r="AE8" s="1">
        <v>30</v>
      </c>
      <c r="AF8" s="1">
        <v>31</v>
      </c>
      <c r="AG8" s="1">
        <v>32</v>
      </c>
      <c r="AH8" s="1">
        <v>33</v>
      </c>
      <c r="AI8" s="1">
        <v>34</v>
      </c>
      <c r="AJ8" s="1">
        <v>35</v>
      </c>
      <c r="AK8" s="1">
        <v>36</v>
      </c>
      <c r="AL8" s="1">
        <v>37</v>
      </c>
      <c r="AM8" s="1">
        <v>38</v>
      </c>
      <c r="AN8" s="1">
        <v>39</v>
      </c>
      <c r="AO8" s="1">
        <v>40</v>
      </c>
      <c r="AP8" s="1">
        <v>41</v>
      </c>
      <c r="AQ8" s="1">
        <v>42</v>
      </c>
      <c r="AR8" s="1">
        <v>43</v>
      </c>
      <c r="AS8" s="1">
        <v>44</v>
      </c>
      <c r="AT8" s="1">
        <v>45</v>
      </c>
      <c r="AU8" s="1">
        <v>46</v>
      </c>
      <c r="AV8" s="1">
        <v>47</v>
      </c>
      <c r="AW8" s="1">
        <v>48</v>
      </c>
      <c r="AX8" s="1">
        <v>49</v>
      </c>
      <c r="AY8" s="1">
        <v>50</v>
      </c>
      <c r="AZ8" s="1">
        <v>51</v>
      </c>
      <c r="BA8" s="1">
        <v>52</v>
      </c>
      <c r="BB8" s="1">
        <v>53</v>
      </c>
      <c r="BC8" s="1">
        <v>54</v>
      </c>
      <c r="BD8" s="1">
        <v>55</v>
      </c>
      <c r="BE8" s="1">
        <v>56</v>
      </c>
      <c r="BF8" s="1">
        <v>57</v>
      </c>
      <c r="BG8" s="1">
        <v>58</v>
      </c>
      <c r="BH8" s="1">
        <v>59</v>
      </c>
      <c r="BI8" s="1">
        <v>60</v>
      </c>
      <c r="BJ8" s="1">
        <v>61</v>
      </c>
      <c r="BK8" s="1">
        <v>62</v>
      </c>
      <c r="BL8" s="1">
        <v>63</v>
      </c>
      <c r="BM8" s="1">
        <v>64</v>
      </c>
      <c r="BN8" s="1">
        <v>65</v>
      </c>
      <c r="BO8" s="1">
        <v>66</v>
      </c>
      <c r="BP8" s="1">
        <v>67</v>
      </c>
      <c r="BQ8" s="1">
        <v>68</v>
      </c>
      <c r="BR8" s="1">
        <v>69</v>
      </c>
      <c r="BS8" s="1">
        <v>70</v>
      </c>
      <c r="BT8" s="1">
        <v>71</v>
      </c>
      <c r="BU8" s="1">
        <v>72</v>
      </c>
      <c r="BV8" s="1">
        <v>73</v>
      </c>
      <c r="BW8" s="1">
        <v>74</v>
      </c>
      <c r="BX8" s="1">
        <v>75</v>
      </c>
      <c r="BY8" s="1">
        <v>76</v>
      </c>
      <c r="BZ8" s="1">
        <v>77</v>
      </c>
      <c r="CA8" s="1">
        <v>78</v>
      </c>
      <c r="CB8" s="1">
        <v>79</v>
      </c>
      <c r="CC8" s="1">
        <v>80</v>
      </c>
      <c r="CD8" s="1">
        <v>81</v>
      </c>
      <c r="CE8" s="1">
        <v>82</v>
      </c>
      <c r="CF8" s="1">
        <v>83</v>
      </c>
      <c r="CG8" s="1">
        <v>84</v>
      </c>
      <c r="CH8" s="1">
        <v>85</v>
      </c>
      <c r="CI8" s="1">
        <v>86</v>
      </c>
      <c r="CJ8" s="1">
        <v>87</v>
      </c>
      <c r="CK8" s="1">
        <v>88</v>
      </c>
      <c r="CL8" s="1">
        <v>89</v>
      </c>
      <c r="CM8" s="1">
        <v>90</v>
      </c>
      <c r="CN8" s="1">
        <v>91</v>
      </c>
      <c r="CO8" s="1">
        <v>92</v>
      </c>
      <c r="CP8" s="1">
        <v>93</v>
      </c>
      <c r="CQ8" s="1">
        <v>94</v>
      </c>
      <c r="CR8" s="1">
        <v>95</v>
      </c>
      <c r="CS8" s="1">
        <v>96</v>
      </c>
      <c r="CT8" s="1">
        <v>97</v>
      </c>
      <c r="CU8" s="1">
        <v>98</v>
      </c>
      <c r="CV8" s="1">
        <v>99</v>
      </c>
      <c r="CW8" s="1">
        <v>100</v>
      </c>
      <c r="CX8" s="5">
        <v>101</v>
      </c>
      <c r="CY8" s="5">
        <v>102</v>
      </c>
      <c r="CZ8" s="5">
        <v>103</v>
      </c>
      <c r="DA8" s="5">
        <v>104</v>
      </c>
      <c r="DB8" s="5">
        <v>105</v>
      </c>
    </row>
    <row r="9" spans="1:106" ht="12.75">
      <c r="A9" s="1">
        <v>1</v>
      </c>
      <c r="B9" s="118"/>
      <c r="C9" s="119"/>
      <c r="D9" s="119"/>
      <c r="E9" s="119"/>
      <c r="F9" s="119"/>
      <c r="G9" s="120"/>
      <c r="H9" s="119"/>
      <c r="I9" s="121"/>
      <c r="J9" s="119"/>
      <c r="K9" s="119"/>
      <c r="L9" s="122"/>
      <c r="M9" s="119"/>
      <c r="N9" s="119"/>
      <c r="O9" s="119"/>
      <c r="P9" s="119"/>
      <c r="Q9" s="122"/>
      <c r="R9" s="119"/>
      <c r="S9" s="119"/>
      <c r="T9" s="119"/>
      <c r="U9" s="119"/>
      <c r="V9" s="120"/>
      <c r="W9" s="119"/>
      <c r="X9" s="121"/>
      <c r="Y9" s="119"/>
      <c r="Z9" s="119"/>
      <c r="AA9" s="122"/>
      <c r="AB9" s="119"/>
      <c r="AC9" s="119"/>
      <c r="AD9" s="119"/>
      <c r="AE9" s="119"/>
      <c r="AF9" s="122"/>
      <c r="AG9" s="119"/>
      <c r="AH9" s="119"/>
      <c r="AI9" s="119"/>
      <c r="AJ9" s="119"/>
      <c r="AK9" s="120"/>
      <c r="AL9" s="119"/>
      <c r="AM9" s="121"/>
      <c r="AN9" s="119"/>
      <c r="AO9" s="119"/>
      <c r="AP9" s="122"/>
      <c r="AQ9" s="119"/>
      <c r="AR9" s="119"/>
      <c r="AS9" s="119"/>
      <c r="AT9" s="119"/>
      <c r="AU9" s="122"/>
      <c r="AV9" s="119"/>
      <c r="AW9" s="119"/>
      <c r="AX9" s="119"/>
      <c r="AY9" s="119"/>
      <c r="AZ9" s="120"/>
      <c r="BA9" s="119"/>
      <c r="BB9" s="121"/>
      <c r="BC9" s="119"/>
      <c r="BD9" s="119"/>
      <c r="BE9" s="122"/>
      <c r="BF9" s="119"/>
      <c r="BG9" s="119"/>
      <c r="BH9" s="119"/>
      <c r="BI9" s="119"/>
      <c r="BJ9" s="122"/>
      <c r="BK9" s="119"/>
      <c r="BL9" s="119"/>
      <c r="BM9" s="119"/>
      <c r="BN9" s="119"/>
      <c r="BO9" s="120"/>
      <c r="BP9" s="119"/>
      <c r="BQ9" s="121"/>
      <c r="BR9" s="119"/>
      <c r="BS9" s="119"/>
      <c r="BT9" s="122"/>
      <c r="BU9" s="119"/>
      <c r="BV9" s="119"/>
      <c r="BW9" s="119"/>
      <c r="BX9" s="119"/>
      <c r="BY9" s="122"/>
      <c r="BZ9" s="119"/>
      <c r="CA9" s="119"/>
      <c r="CB9" s="119"/>
      <c r="CC9" s="119"/>
      <c r="CD9" s="120"/>
      <c r="CE9" s="119"/>
      <c r="CF9" s="121"/>
      <c r="CG9" s="119"/>
      <c r="CH9" s="119"/>
      <c r="CI9" s="122"/>
      <c r="CJ9" s="119"/>
      <c r="CK9" s="119"/>
      <c r="CL9" s="119"/>
      <c r="CM9" s="119"/>
      <c r="CN9" s="122"/>
      <c r="CO9" s="119"/>
      <c r="CP9" s="119"/>
      <c r="CQ9" s="119"/>
      <c r="CR9" s="119"/>
      <c r="CS9" s="120"/>
      <c r="CT9" s="119"/>
      <c r="CU9" s="121"/>
      <c r="CV9" s="119"/>
      <c r="CW9" s="119"/>
      <c r="CX9" s="122"/>
      <c r="CY9" s="119"/>
      <c r="CZ9" s="119"/>
      <c r="DA9" s="119"/>
      <c r="DB9" s="123"/>
    </row>
    <row r="10" spans="1:106" ht="12.75">
      <c r="A10" s="1">
        <v>2</v>
      </c>
      <c r="B10" s="124"/>
      <c r="C10" s="125"/>
      <c r="D10" s="126"/>
      <c r="E10" s="125"/>
      <c r="F10" s="125"/>
      <c r="G10" s="34"/>
      <c r="H10" s="125"/>
      <c r="I10" s="127"/>
      <c r="J10" s="125"/>
      <c r="K10" s="125"/>
      <c r="L10" s="125"/>
      <c r="M10" s="34"/>
      <c r="N10" s="127"/>
      <c r="O10" s="125"/>
      <c r="P10" s="125"/>
      <c r="Q10" s="125"/>
      <c r="R10" s="125"/>
      <c r="S10" s="126"/>
      <c r="T10" s="125"/>
      <c r="U10" s="125"/>
      <c r="V10" s="34"/>
      <c r="W10" s="125"/>
      <c r="X10" s="127"/>
      <c r="Y10" s="125"/>
      <c r="Z10" s="125"/>
      <c r="AA10" s="125"/>
      <c r="AB10" s="34"/>
      <c r="AC10" s="127"/>
      <c r="AD10" s="125"/>
      <c r="AE10" s="125"/>
      <c r="AF10" s="125"/>
      <c r="AG10" s="125"/>
      <c r="AH10" s="126"/>
      <c r="AI10" s="125"/>
      <c r="AJ10" s="125"/>
      <c r="AK10" s="34"/>
      <c r="AL10" s="125"/>
      <c r="AM10" s="127"/>
      <c r="AN10" s="125"/>
      <c r="AO10" s="125"/>
      <c r="AP10" s="125"/>
      <c r="AQ10" s="34"/>
      <c r="AR10" s="127"/>
      <c r="AS10" s="125"/>
      <c r="AT10" s="125"/>
      <c r="AU10" s="125"/>
      <c r="AV10" s="125"/>
      <c r="AW10" s="126"/>
      <c r="AX10" s="125"/>
      <c r="AY10" s="125"/>
      <c r="AZ10" s="34"/>
      <c r="BA10" s="125"/>
      <c r="BB10" s="127"/>
      <c r="BC10" s="125"/>
      <c r="BD10" s="125"/>
      <c r="BE10" s="125"/>
      <c r="BF10" s="34"/>
      <c r="BG10" s="127"/>
      <c r="BH10" s="125"/>
      <c r="BI10" s="125"/>
      <c r="BJ10" s="125"/>
      <c r="BK10" s="125"/>
      <c r="BL10" s="126"/>
      <c r="BM10" s="125"/>
      <c r="BN10" s="125"/>
      <c r="BO10" s="34"/>
      <c r="BP10" s="125"/>
      <c r="BQ10" s="127"/>
      <c r="BR10" s="125"/>
      <c r="BS10" s="125"/>
      <c r="BT10" s="125"/>
      <c r="BU10" s="34"/>
      <c r="BV10" s="127"/>
      <c r="BW10" s="125"/>
      <c r="BX10" s="125"/>
      <c r="BY10" s="125"/>
      <c r="BZ10" s="125"/>
      <c r="CA10" s="126"/>
      <c r="CB10" s="125"/>
      <c r="CC10" s="125"/>
      <c r="CD10" s="34"/>
      <c r="CE10" s="125"/>
      <c r="CF10" s="127"/>
      <c r="CG10" s="125"/>
      <c r="CH10" s="125"/>
      <c r="CI10" s="125"/>
      <c r="CJ10" s="34"/>
      <c r="CK10" s="127"/>
      <c r="CL10" s="125"/>
      <c r="CM10" s="125"/>
      <c r="CN10" s="125"/>
      <c r="CO10" s="125"/>
      <c r="CP10" s="126"/>
      <c r="CQ10" s="125"/>
      <c r="CR10" s="125"/>
      <c r="CS10" s="34"/>
      <c r="CT10" s="125"/>
      <c r="CU10" s="127"/>
      <c r="CV10" s="125"/>
      <c r="CW10" s="125"/>
      <c r="CX10" s="125"/>
      <c r="CY10" s="34"/>
      <c r="CZ10" s="127"/>
      <c r="DA10" s="125"/>
      <c r="DB10" s="128"/>
    </row>
    <row r="11" spans="1:106" ht="12.75">
      <c r="A11" s="1">
        <v>3</v>
      </c>
      <c r="B11" s="129"/>
      <c r="C11" s="34"/>
      <c r="D11" s="34"/>
      <c r="E11" s="34"/>
      <c r="F11" s="34"/>
      <c r="G11" s="126"/>
      <c r="H11" s="34"/>
      <c r="I11" s="125"/>
      <c r="J11" s="34"/>
      <c r="K11" s="34"/>
      <c r="L11" s="127"/>
      <c r="M11" s="34"/>
      <c r="N11" s="125"/>
      <c r="O11" s="34"/>
      <c r="P11" s="34"/>
      <c r="Q11" s="127"/>
      <c r="R11" s="34"/>
      <c r="S11" s="34"/>
      <c r="T11" s="34"/>
      <c r="U11" s="34"/>
      <c r="V11" s="126"/>
      <c r="W11" s="34"/>
      <c r="X11" s="125"/>
      <c r="Y11" s="34"/>
      <c r="Z11" s="34"/>
      <c r="AA11" s="127"/>
      <c r="AB11" s="34"/>
      <c r="AC11" s="125"/>
      <c r="AD11" s="34"/>
      <c r="AE11" s="34"/>
      <c r="AF11" s="127"/>
      <c r="AG11" s="34"/>
      <c r="AH11" s="34"/>
      <c r="AI11" s="34"/>
      <c r="AJ11" s="34"/>
      <c r="AK11" s="126"/>
      <c r="AL11" s="34"/>
      <c r="AM11" s="125"/>
      <c r="AN11" s="34"/>
      <c r="AO11" s="34"/>
      <c r="AP11" s="127"/>
      <c r="AQ11" s="34"/>
      <c r="AR11" s="125"/>
      <c r="AS11" s="34"/>
      <c r="AT11" s="34"/>
      <c r="AU11" s="127"/>
      <c r="AV11" s="34"/>
      <c r="AW11" s="34"/>
      <c r="AX11" s="34"/>
      <c r="AY11" s="34"/>
      <c r="AZ11" s="126"/>
      <c r="BA11" s="34"/>
      <c r="BB11" s="125"/>
      <c r="BC11" s="34"/>
      <c r="BD11" s="34"/>
      <c r="BE11" s="127"/>
      <c r="BF11" s="34"/>
      <c r="BG11" s="125"/>
      <c r="BH11" s="34"/>
      <c r="BI11" s="34"/>
      <c r="BJ11" s="127"/>
      <c r="BK11" s="34"/>
      <c r="BL11" s="34"/>
      <c r="BM11" s="34"/>
      <c r="BN11" s="34"/>
      <c r="BO11" s="126"/>
      <c r="BP11" s="34"/>
      <c r="BQ11" s="125"/>
      <c r="BR11" s="34"/>
      <c r="BS11" s="34"/>
      <c r="BT11" s="127"/>
      <c r="BU11" s="34"/>
      <c r="BV11" s="125"/>
      <c r="BW11" s="34"/>
      <c r="BX11" s="34"/>
      <c r="BY11" s="127"/>
      <c r="BZ11" s="34"/>
      <c r="CA11" s="34"/>
      <c r="CB11" s="34"/>
      <c r="CC11" s="34"/>
      <c r="CD11" s="126"/>
      <c r="CE11" s="34"/>
      <c r="CF11" s="125"/>
      <c r="CG11" s="34"/>
      <c r="CH11" s="34"/>
      <c r="CI11" s="127"/>
      <c r="CJ11" s="34"/>
      <c r="CK11" s="125"/>
      <c r="CL11" s="34"/>
      <c r="CM11" s="34"/>
      <c r="CN11" s="127"/>
      <c r="CO11" s="34"/>
      <c r="CP11" s="34"/>
      <c r="CQ11" s="34"/>
      <c r="CR11" s="34"/>
      <c r="CS11" s="126"/>
      <c r="CT11" s="34"/>
      <c r="CU11" s="125"/>
      <c r="CV11" s="34"/>
      <c r="CW11" s="34"/>
      <c r="CX11" s="127"/>
      <c r="CY11" s="34"/>
      <c r="CZ11" s="125"/>
      <c r="DA11" s="34"/>
      <c r="DB11" s="35"/>
    </row>
    <row r="12" spans="1:106" ht="12.75">
      <c r="A12" s="1">
        <v>4</v>
      </c>
      <c r="B12" s="130"/>
      <c r="C12" s="34"/>
      <c r="D12" s="126"/>
      <c r="E12" s="34"/>
      <c r="F12" s="34"/>
      <c r="G12" s="34"/>
      <c r="H12" s="34"/>
      <c r="I12" s="127"/>
      <c r="J12" s="34"/>
      <c r="K12" s="34"/>
      <c r="L12" s="34"/>
      <c r="M12" s="34"/>
      <c r="N12" s="127"/>
      <c r="O12" s="34"/>
      <c r="P12" s="34"/>
      <c r="Q12" s="34"/>
      <c r="R12" s="34"/>
      <c r="S12" s="126"/>
      <c r="T12" s="34"/>
      <c r="U12" s="34"/>
      <c r="V12" s="34"/>
      <c r="W12" s="34"/>
      <c r="X12" s="127"/>
      <c r="Y12" s="34"/>
      <c r="Z12" s="34"/>
      <c r="AA12" s="34"/>
      <c r="AB12" s="34"/>
      <c r="AC12" s="127"/>
      <c r="AD12" s="34"/>
      <c r="AE12" s="34"/>
      <c r="AF12" s="34"/>
      <c r="AG12" s="34"/>
      <c r="AH12" s="126"/>
      <c r="AI12" s="34"/>
      <c r="AJ12" s="34"/>
      <c r="AK12" s="34"/>
      <c r="AL12" s="34"/>
      <c r="AM12" s="127"/>
      <c r="AN12" s="34"/>
      <c r="AO12" s="34"/>
      <c r="AP12" s="34"/>
      <c r="AQ12" s="34"/>
      <c r="AR12" s="127"/>
      <c r="AS12" s="34"/>
      <c r="AT12" s="34"/>
      <c r="AU12" s="34"/>
      <c r="AV12" s="34"/>
      <c r="AW12" s="126"/>
      <c r="AX12" s="34"/>
      <c r="AY12" s="34"/>
      <c r="AZ12" s="34"/>
      <c r="BA12" s="34"/>
      <c r="BB12" s="127"/>
      <c r="BC12" s="34"/>
      <c r="BD12" s="34"/>
      <c r="BE12" s="34"/>
      <c r="BF12" s="34"/>
      <c r="BG12" s="127"/>
      <c r="BH12" s="34"/>
      <c r="BI12" s="34"/>
      <c r="BJ12" s="34"/>
      <c r="BK12" s="34"/>
      <c r="BL12" s="126"/>
      <c r="BM12" s="34"/>
      <c r="BN12" s="34"/>
      <c r="BO12" s="34"/>
      <c r="BP12" s="34"/>
      <c r="BQ12" s="127"/>
      <c r="BR12" s="34"/>
      <c r="BS12" s="34"/>
      <c r="BT12" s="34"/>
      <c r="BU12" s="34"/>
      <c r="BV12" s="127"/>
      <c r="BW12" s="34"/>
      <c r="BX12" s="34"/>
      <c r="BY12" s="34"/>
      <c r="BZ12" s="34"/>
      <c r="CA12" s="126"/>
      <c r="CB12" s="34"/>
      <c r="CC12" s="34"/>
      <c r="CD12" s="34"/>
      <c r="CE12" s="34"/>
      <c r="CF12" s="127"/>
      <c r="CG12" s="34"/>
      <c r="CH12" s="34"/>
      <c r="CI12" s="34"/>
      <c r="CJ12" s="34"/>
      <c r="CK12" s="127"/>
      <c r="CL12" s="34"/>
      <c r="CM12" s="34"/>
      <c r="CN12" s="34"/>
      <c r="CO12" s="34"/>
      <c r="CP12" s="126"/>
      <c r="CQ12" s="34"/>
      <c r="CR12" s="34"/>
      <c r="CS12" s="34"/>
      <c r="CT12" s="34"/>
      <c r="CU12" s="127"/>
      <c r="CV12" s="34"/>
      <c r="CW12" s="34"/>
      <c r="CX12" s="34"/>
      <c r="CY12" s="34"/>
      <c r="CZ12" s="127"/>
      <c r="DA12" s="34"/>
      <c r="DB12" s="35"/>
    </row>
    <row r="13" spans="1:106" ht="12.75">
      <c r="A13" s="1">
        <v>5</v>
      </c>
      <c r="B13" s="129"/>
      <c r="C13" s="34"/>
      <c r="D13" s="34"/>
      <c r="E13" s="34"/>
      <c r="F13" s="34"/>
      <c r="G13" s="126"/>
      <c r="H13" s="34"/>
      <c r="I13" s="34"/>
      <c r="J13" s="34"/>
      <c r="K13" s="34"/>
      <c r="L13" s="127"/>
      <c r="M13" s="34"/>
      <c r="N13" s="34"/>
      <c r="O13" s="34"/>
      <c r="P13" s="34"/>
      <c r="Q13" s="127"/>
      <c r="R13" s="34"/>
      <c r="S13" s="34"/>
      <c r="T13" s="34"/>
      <c r="U13" s="34"/>
      <c r="V13" s="126"/>
      <c r="W13" s="34"/>
      <c r="X13" s="34"/>
      <c r="Y13" s="34"/>
      <c r="Z13" s="34"/>
      <c r="AA13" s="127"/>
      <c r="AB13" s="34"/>
      <c r="AC13" s="34"/>
      <c r="AD13" s="34"/>
      <c r="AE13" s="34"/>
      <c r="AF13" s="127"/>
      <c r="AG13" s="34"/>
      <c r="AH13" s="34"/>
      <c r="AI13" s="34"/>
      <c r="AJ13" s="34"/>
      <c r="AK13" s="126"/>
      <c r="AL13" s="34"/>
      <c r="AM13" s="34"/>
      <c r="AN13" s="34"/>
      <c r="AO13" s="34"/>
      <c r="AP13" s="127"/>
      <c r="AQ13" s="34"/>
      <c r="AR13" s="34"/>
      <c r="AS13" s="34"/>
      <c r="AT13" s="34"/>
      <c r="AU13" s="127"/>
      <c r="AV13" s="34"/>
      <c r="AW13" s="34"/>
      <c r="AX13" s="34"/>
      <c r="AY13" s="34"/>
      <c r="AZ13" s="126"/>
      <c r="BA13" s="34"/>
      <c r="BB13" s="34"/>
      <c r="BC13" s="34"/>
      <c r="BD13" s="34"/>
      <c r="BE13" s="127"/>
      <c r="BF13" s="34"/>
      <c r="BG13" s="34"/>
      <c r="BH13" s="34"/>
      <c r="BI13" s="34"/>
      <c r="BJ13" s="127"/>
      <c r="BK13" s="34"/>
      <c r="BL13" s="34"/>
      <c r="BM13" s="34"/>
      <c r="BN13" s="34"/>
      <c r="BO13" s="126"/>
      <c r="BP13" s="34"/>
      <c r="BQ13" s="34"/>
      <c r="BR13" s="34"/>
      <c r="BS13" s="34"/>
      <c r="BT13" s="127"/>
      <c r="BU13" s="34"/>
      <c r="BV13" s="34"/>
      <c r="BW13" s="34"/>
      <c r="BX13" s="34"/>
      <c r="BY13" s="127"/>
      <c r="BZ13" s="34"/>
      <c r="CA13" s="34"/>
      <c r="CB13" s="34"/>
      <c r="CC13" s="34"/>
      <c r="CD13" s="126"/>
      <c r="CE13" s="34"/>
      <c r="CF13" s="34"/>
      <c r="CG13" s="34"/>
      <c r="CH13" s="34"/>
      <c r="CI13" s="127"/>
      <c r="CJ13" s="34"/>
      <c r="CK13" s="34"/>
      <c r="CL13" s="34"/>
      <c r="CM13" s="34"/>
      <c r="CN13" s="127"/>
      <c r="CO13" s="34"/>
      <c r="CP13" s="34"/>
      <c r="CQ13" s="34"/>
      <c r="CR13" s="34"/>
      <c r="CS13" s="126"/>
      <c r="CT13" s="34"/>
      <c r="CU13" s="34"/>
      <c r="CV13" s="34"/>
      <c r="CW13" s="34"/>
      <c r="CX13" s="127"/>
      <c r="CY13" s="34"/>
      <c r="CZ13" s="34"/>
      <c r="DA13" s="34"/>
      <c r="DB13" s="35"/>
    </row>
    <row r="14" spans="1:106" ht="12.75">
      <c r="A14" s="1">
        <v>6</v>
      </c>
      <c r="B14" s="130"/>
      <c r="C14" s="34"/>
      <c r="D14" s="126"/>
      <c r="E14" s="34"/>
      <c r="F14" s="34"/>
      <c r="G14" s="34"/>
      <c r="H14" s="34"/>
      <c r="I14" s="127"/>
      <c r="J14" s="34"/>
      <c r="K14" s="34"/>
      <c r="L14" s="34"/>
      <c r="M14" s="34"/>
      <c r="N14" s="127"/>
      <c r="O14" s="34"/>
      <c r="P14" s="34"/>
      <c r="Q14" s="34"/>
      <c r="R14" s="34"/>
      <c r="S14" s="126"/>
      <c r="T14" s="34"/>
      <c r="U14" s="34"/>
      <c r="V14" s="34"/>
      <c r="W14" s="34"/>
      <c r="X14" s="127"/>
      <c r="Y14" s="34"/>
      <c r="Z14" s="34"/>
      <c r="AA14" s="34"/>
      <c r="AB14" s="34"/>
      <c r="AC14" s="127"/>
      <c r="AD14" s="34"/>
      <c r="AE14" s="34"/>
      <c r="AF14" s="34"/>
      <c r="AG14" s="34"/>
      <c r="AH14" s="126"/>
      <c r="AI14" s="34"/>
      <c r="AJ14" s="34"/>
      <c r="AK14" s="34"/>
      <c r="AL14" s="34"/>
      <c r="AM14" s="127"/>
      <c r="AN14" s="34"/>
      <c r="AO14" s="34"/>
      <c r="AP14" s="34"/>
      <c r="AQ14" s="34"/>
      <c r="AR14" s="127"/>
      <c r="AS14" s="34"/>
      <c r="AT14" s="34"/>
      <c r="AU14" s="34"/>
      <c r="AV14" s="34"/>
      <c r="AW14" s="126"/>
      <c r="AX14" s="34"/>
      <c r="AY14" s="34"/>
      <c r="AZ14" s="34"/>
      <c r="BA14" s="34"/>
      <c r="BB14" s="127"/>
      <c r="BC14" s="34"/>
      <c r="BD14" s="34"/>
      <c r="BE14" s="34"/>
      <c r="BF14" s="34"/>
      <c r="BG14" s="127"/>
      <c r="BH14" s="34"/>
      <c r="BI14" s="34"/>
      <c r="BJ14" s="34"/>
      <c r="BK14" s="34"/>
      <c r="BL14" s="126"/>
      <c r="BM14" s="34"/>
      <c r="BN14" s="34"/>
      <c r="BO14" s="34"/>
      <c r="BP14" s="34"/>
      <c r="BQ14" s="127"/>
      <c r="BR14" s="34"/>
      <c r="BS14" s="34"/>
      <c r="BT14" s="34"/>
      <c r="BU14" s="34"/>
      <c r="BV14" s="127"/>
      <c r="BW14" s="34"/>
      <c r="BX14" s="34"/>
      <c r="BY14" s="34"/>
      <c r="BZ14" s="34"/>
      <c r="CA14" s="126"/>
      <c r="CB14" s="34"/>
      <c r="CC14" s="34"/>
      <c r="CD14" s="34"/>
      <c r="CE14" s="34"/>
      <c r="CF14" s="127"/>
      <c r="CG14" s="34"/>
      <c r="CH14" s="34"/>
      <c r="CI14" s="34"/>
      <c r="CJ14" s="34"/>
      <c r="CK14" s="127"/>
      <c r="CL14" s="34"/>
      <c r="CM14" s="34"/>
      <c r="CN14" s="34"/>
      <c r="CO14" s="34"/>
      <c r="CP14" s="126"/>
      <c r="CQ14" s="34"/>
      <c r="CR14" s="34"/>
      <c r="CS14" s="34"/>
      <c r="CT14" s="34"/>
      <c r="CU14" s="127"/>
      <c r="CV14" s="34"/>
      <c r="CW14" s="34"/>
      <c r="CX14" s="34"/>
      <c r="CY14" s="34"/>
      <c r="CZ14" s="127"/>
      <c r="DA14" s="34"/>
      <c r="DB14" s="35"/>
    </row>
    <row r="15" spans="1:106" ht="12.75">
      <c r="A15" s="1">
        <v>7</v>
      </c>
      <c r="B15" s="129"/>
      <c r="C15" s="34"/>
      <c r="D15" s="34"/>
      <c r="E15" s="34"/>
      <c r="F15" s="34"/>
      <c r="G15" s="126"/>
      <c r="H15" s="34"/>
      <c r="I15" s="34"/>
      <c r="J15" s="34"/>
      <c r="K15" s="34"/>
      <c r="L15" s="127"/>
      <c r="M15" s="34"/>
      <c r="N15" s="34"/>
      <c r="O15" s="34"/>
      <c r="P15" s="34"/>
      <c r="Q15" s="127"/>
      <c r="R15" s="34"/>
      <c r="S15" s="34"/>
      <c r="T15" s="34"/>
      <c r="U15" s="34"/>
      <c r="V15" s="126"/>
      <c r="W15" s="34"/>
      <c r="X15" s="34"/>
      <c r="Y15" s="34"/>
      <c r="Z15" s="34"/>
      <c r="AA15" s="127"/>
      <c r="AB15" s="34"/>
      <c r="AC15" s="34"/>
      <c r="AD15" s="34"/>
      <c r="AE15" s="34"/>
      <c r="AF15" s="127"/>
      <c r="AG15" s="34"/>
      <c r="AH15" s="34"/>
      <c r="AI15" s="34"/>
      <c r="AJ15" s="34"/>
      <c r="AK15" s="126"/>
      <c r="AL15" s="34"/>
      <c r="AM15" s="34"/>
      <c r="AN15" s="34"/>
      <c r="AO15" s="34"/>
      <c r="AP15" s="127"/>
      <c r="AQ15" s="34"/>
      <c r="AR15" s="34"/>
      <c r="AS15" s="34"/>
      <c r="AT15" s="34"/>
      <c r="AU15" s="127"/>
      <c r="AV15" s="34"/>
      <c r="AW15" s="34"/>
      <c r="AX15" s="34"/>
      <c r="AY15" s="34"/>
      <c r="AZ15" s="126"/>
      <c r="BA15" s="34"/>
      <c r="BB15" s="34"/>
      <c r="BC15" s="34"/>
      <c r="BD15" s="34"/>
      <c r="BE15" s="127"/>
      <c r="BF15" s="34"/>
      <c r="BG15" s="34"/>
      <c r="BH15" s="34"/>
      <c r="BI15" s="34"/>
      <c r="BJ15" s="127"/>
      <c r="BK15" s="34"/>
      <c r="BL15" s="34"/>
      <c r="BM15" s="34"/>
      <c r="BN15" s="34"/>
      <c r="BO15" s="126"/>
      <c r="BP15" s="34"/>
      <c r="BQ15" s="34"/>
      <c r="BR15" s="34"/>
      <c r="BS15" s="34"/>
      <c r="BT15" s="127"/>
      <c r="BU15" s="34"/>
      <c r="BV15" s="34"/>
      <c r="BW15" s="34"/>
      <c r="BX15" s="34"/>
      <c r="BY15" s="127"/>
      <c r="BZ15" s="34"/>
      <c r="CA15" s="34"/>
      <c r="CB15" s="34"/>
      <c r="CC15" s="34"/>
      <c r="CD15" s="126"/>
      <c r="CE15" s="34"/>
      <c r="CF15" s="34"/>
      <c r="CG15" s="34"/>
      <c r="CH15" s="34"/>
      <c r="CI15" s="127"/>
      <c r="CJ15" s="34"/>
      <c r="CK15" s="34"/>
      <c r="CL15" s="34"/>
      <c r="CM15" s="34"/>
      <c r="CN15" s="127"/>
      <c r="CO15" s="34"/>
      <c r="CP15" s="34"/>
      <c r="CQ15" s="34"/>
      <c r="CR15" s="34"/>
      <c r="CS15" s="126"/>
      <c r="CT15" s="34"/>
      <c r="CU15" s="34"/>
      <c r="CV15" s="34"/>
      <c r="CW15" s="34"/>
      <c r="CX15" s="127"/>
      <c r="CY15" s="34"/>
      <c r="CZ15" s="34"/>
      <c r="DA15" s="34"/>
      <c r="DB15" s="35"/>
    </row>
    <row r="16" spans="1:106" ht="12.75">
      <c r="A16" s="1">
        <v>8</v>
      </c>
      <c r="B16" s="130"/>
      <c r="C16" s="34"/>
      <c r="D16" s="126"/>
      <c r="E16" s="34"/>
      <c r="F16" s="34"/>
      <c r="G16" s="34"/>
      <c r="H16" s="34"/>
      <c r="I16" s="127"/>
      <c r="J16" s="34"/>
      <c r="K16" s="34"/>
      <c r="L16" s="34"/>
      <c r="M16" s="34"/>
      <c r="N16" s="127"/>
      <c r="O16" s="34"/>
      <c r="P16" s="34"/>
      <c r="Q16" s="34"/>
      <c r="R16" s="34"/>
      <c r="S16" s="126"/>
      <c r="T16" s="34"/>
      <c r="U16" s="34"/>
      <c r="V16" s="34"/>
      <c r="W16" s="34"/>
      <c r="X16" s="127"/>
      <c r="Y16" s="34"/>
      <c r="Z16" s="34"/>
      <c r="AA16" s="34"/>
      <c r="AB16" s="34"/>
      <c r="AC16" s="127"/>
      <c r="AD16" s="34"/>
      <c r="AE16" s="34"/>
      <c r="AF16" s="34"/>
      <c r="AG16" s="34"/>
      <c r="AH16" s="126"/>
      <c r="AI16" s="34"/>
      <c r="AJ16" s="34"/>
      <c r="AK16" s="34"/>
      <c r="AL16" s="34"/>
      <c r="AM16" s="127"/>
      <c r="AN16" s="34"/>
      <c r="AO16" s="34"/>
      <c r="AP16" s="34"/>
      <c r="AQ16" s="34"/>
      <c r="AR16" s="127"/>
      <c r="AS16" s="34"/>
      <c r="AT16" s="34"/>
      <c r="AU16" s="34"/>
      <c r="AV16" s="34"/>
      <c r="AW16" s="126"/>
      <c r="AX16" s="34"/>
      <c r="AY16" s="34"/>
      <c r="AZ16" s="34"/>
      <c r="BA16" s="34"/>
      <c r="BB16" s="127"/>
      <c r="BC16" s="34"/>
      <c r="BD16" s="34"/>
      <c r="BE16" s="34"/>
      <c r="BF16" s="34"/>
      <c r="BG16" s="127"/>
      <c r="BH16" s="34"/>
      <c r="BI16" s="34"/>
      <c r="BJ16" s="34"/>
      <c r="BK16" s="34"/>
      <c r="BL16" s="126"/>
      <c r="BM16" s="34"/>
      <c r="BN16" s="34"/>
      <c r="BO16" s="34"/>
      <c r="BP16" s="34"/>
      <c r="BQ16" s="127"/>
      <c r="BR16" s="34"/>
      <c r="BS16" s="34"/>
      <c r="BT16" s="34"/>
      <c r="BU16" s="34"/>
      <c r="BV16" s="127"/>
      <c r="BW16" s="34"/>
      <c r="BX16" s="34"/>
      <c r="BY16" s="34"/>
      <c r="BZ16" s="34"/>
      <c r="CA16" s="126"/>
      <c r="CB16" s="34"/>
      <c r="CC16" s="34"/>
      <c r="CD16" s="34"/>
      <c r="CE16" s="34"/>
      <c r="CF16" s="127"/>
      <c r="CG16" s="34"/>
      <c r="CH16" s="34"/>
      <c r="CI16" s="34"/>
      <c r="CJ16" s="34"/>
      <c r="CK16" s="127"/>
      <c r="CL16" s="34"/>
      <c r="CM16" s="34"/>
      <c r="CN16" s="34"/>
      <c r="CO16" s="34"/>
      <c r="CP16" s="126"/>
      <c r="CQ16" s="34"/>
      <c r="CR16" s="34"/>
      <c r="CS16" s="34"/>
      <c r="CT16" s="34"/>
      <c r="CU16" s="127"/>
      <c r="CV16" s="34"/>
      <c r="CW16" s="34"/>
      <c r="CX16" s="34"/>
      <c r="CY16" s="34"/>
      <c r="CZ16" s="127"/>
      <c r="DA16" s="34"/>
      <c r="DB16" s="35"/>
    </row>
    <row r="17" spans="1:106" ht="12.75">
      <c r="A17" s="1">
        <v>9</v>
      </c>
      <c r="B17" s="129"/>
      <c r="C17" s="34"/>
      <c r="D17" s="34"/>
      <c r="E17" s="34"/>
      <c r="F17" s="34"/>
      <c r="G17" s="126"/>
      <c r="H17" s="34"/>
      <c r="I17" s="34"/>
      <c r="J17" s="34"/>
      <c r="K17" s="34"/>
      <c r="L17" s="127"/>
      <c r="M17" s="34"/>
      <c r="N17" s="34"/>
      <c r="O17" s="34"/>
      <c r="P17" s="34"/>
      <c r="Q17" s="127"/>
      <c r="R17" s="34"/>
      <c r="S17" s="34"/>
      <c r="T17" s="34"/>
      <c r="U17" s="34"/>
      <c r="V17" s="126"/>
      <c r="W17" s="34"/>
      <c r="X17" s="34"/>
      <c r="Y17" s="34"/>
      <c r="Z17" s="34"/>
      <c r="AA17" s="127"/>
      <c r="AB17" s="34"/>
      <c r="AC17" s="34"/>
      <c r="AD17" s="34"/>
      <c r="AE17" s="34"/>
      <c r="AF17" s="127"/>
      <c r="AG17" s="34"/>
      <c r="AH17" s="34"/>
      <c r="AI17" s="34"/>
      <c r="AJ17" s="34"/>
      <c r="AK17" s="126"/>
      <c r="AL17" s="34"/>
      <c r="AM17" s="34"/>
      <c r="AN17" s="34"/>
      <c r="AO17" s="34"/>
      <c r="AP17" s="127"/>
      <c r="AQ17" s="34"/>
      <c r="AR17" s="34"/>
      <c r="AS17" s="34"/>
      <c r="AT17" s="34"/>
      <c r="AU17" s="127"/>
      <c r="AV17" s="34"/>
      <c r="AW17" s="34"/>
      <c r="AX17" s="34"/>
      <c r="AY17" s="34"/>
      <c r="AZ17" s="126"/>
      <c r="BA17" s="34"/>
      <c r="BB17" s="34"/>
      <c r="BC17" s="34"/>
      <c r="BD17" s="34"/>
      <c r="BE17" s="127"/>
      <c r="BF17" s="34"/>
      <c r="BG17" s="34"/>
      <c r="BH17" s="34"/>
      <c r="BI17" s="34"/>
      <c r="BJ17" s="127"/>
      <c r="BK17" s="34"/>
      <c r="BL17" s="34"/>
      <c r="BM17" s="34"/>
      <c r="BN17" s="34"/>
      <c r="BO17" s="126"/>
      <c r="BP17" s="34"/>
      <c r="BQ17" s="34"/>
      <c r="BR17" s="34"/>
      <c r="BS17" s="34"/>
      <c r="BT17" s="127"/>
      <c r="BU17" s="34"/>
      <c r="BV17" s="34"/>
      <c r="BW17" s="34"/>
      <c r="BX17" s="34"/>
      <c r="BY17" s="127"/>
      <c r="BZ17" s="34"/>
      <c r="CA17" s="34"/>
      <c r="CB17" s="34"/>
      <c r="CC17" s="34"/>
      <c r="CD17" s="126"/>
      <c r="CE17" s="34"/>
      <c r="CF17" s="34"/>
      <c r="CG17" s="34"/>
      <c r="CH17" s="34"/>
      <c r="CI17" s="127"/>
      <c r="CJ17" s="34"/>
      <c r="CK17" s="34"/>
      <c r="CL17" s="34"/>
      <c r="CM17" s="34"/>
      <c r="CN17" s="127"/>
      <c r="CO17" s="34"/>
      <c r="CP17" s="34"/>
      <c r="CQ17" s="34"/>
      <c r="CR17" s="34"/>
      <c r="CS17" s="126"/>
      <c r="CT17" s="34"/>
      <c r="CU17" s="34"/>
      <c r="CV17" s="34"/>
      <c r="CW17" s="34"/>
      <c r="CX17" s="127"/>
      <c r="CY17" s="34"/>
      <c r="CZ17" s="34"/>
      <c r="DA17" s="34"/>
      <c r="DB17" s="35"/>
    </row>
    <row r="18" spans="1:106" ht="12.75">
      <c r="A18" s="1">
        <v>10</v>
      </c>
      <c r="B18" s="124"/>
      <c r="C18" s="125"/>
      <c r="D18" s="126"/>
      <c r="E18" s="125"/>
      <c r="F18" s="125"/>
      <c r="G18" s="34"/>
      <c r="H18" s="125"/>
      <c r="I18" s="127"/>
      <c r="J18" s="125"/>
      <c r="K18" s="125"/>
      <c r="L18" s="125"/>
      <c r="M18" s="34"/>
      <c r="N18" s="127"/>
      <c r="O18" s="125"/>
      <c r="P18" s="125"/>
      <c r="Q18" s="125"/>
      <c r="R18" s="125"/>
      <c r="S18" s="126"/>
      <c r="T18" s="125"/>
      <c r="U18" s="125"/>
      <c r="V18" s="34"/>
      <c r="W18" s="125"/>
      <c r="X18" s="127"/>
      <c r="Y18" s="125"/>
      <c r="Z18" s="125"/>
      <c r="AA18" s="125"/>
      <c r="AB18" s="34"/>
      <c r="AC18" s="127"/>
      <c r="AD18" s="125"/>
      <c r="AE18" s="125"/>
      <c r="AF18" s="125"/>
      <c r="AG18" s="125"/>
      <c r="AH18" s="126"/>
      <c r="AI18" s="125"/>
      <c r="AJ18" s="125"/>
      <c r="AK18" s="34"/>
      <c r="AL18" s="125"/>
      <c r="AM18" s="127"/>
      <c r="AN18" s="125"/>
      <c r="AO18" s="125"/>
      <c r="AP18" s="125"/>
      <c r="AQ18" s="34"/>
      <c r="AR18" s="127"/>
      <c r="AS18" s="125"/>
      <c r="AT18" s="125"/>
      <c r="AU18" s="125"/>
      <c r="AV18" s="125"/>
      <c r="AW18" s="126"/>
      <c r="AX18" s="125"/>
      <c r="AY18" s="125"/>
      <c r="AZ18" s="34"/>
      <c r="BA18" s="125"/>
      <c r="BB18" s="127"/>
      <c r="BC18" s="125"/>
      <c r="BD18" s="125"/>
      <c r="BE18" s="125"/>
      <c r="BF18" s="34"/>
      <c r="BG18" s="127"/>
      <c r="BH18" s="125"/>
      <c r="BI18" s="125"/>
      <c r="BJ18" s="125"/>
      <c r="BK18" s="125"/>
      <c r="BL18" s="126"/>
      <c r="BM18" s="125"/>
      <c r="BN18" s="125"/>
      <c r="BO18" s="34"/>
      <c r="BP18" s="125"/>
      <c r="BQ18" s="127"/>
      <c r="BR18" s="125"/>
      <c r="BS18" s="125"/>
      <c r="BT18" s="125"/>
      <c r="BU18" s="34"/>
      <c r="BV18" s="127"/>
      <c r="BW18" s="125"/>
      <c r="BX18" s="125"/>
      <c r="BY18" s="125"/>
      <c r="BZ18" s="125"/>
      <c r="CA18" s="126"/>
      <c r="CB18" s="125"/>
      <c r="CC18" s="125"/>
      <c r="CD18" s="34"/>
      <c r="CE18" s="125"/>
      <c r="CF18" s="127"/>
      <c r="CG18" s="125"/>
      <c r="CH18" s="125"/>
      <c r="CI18" s="125"/>
      <c r="CJ18" s="34"/>
      <c r="CK18" s="127"/>
      <c r="CL18" s="125"/>
      <c r="CM18" s="125"/>
      <c r="CN18" s="125"/>
      <c r="CO18" s="125"/>
      <c r="CP18" s="126"/>
      <c r="CQ18" s="125"/>
      <c r="CR18" s="125"/>
      <c r="CS18" s="34"/>
      <c r="CT18" s="125"/>
      <c r="CU18" s="127"/>
      <c r="CV18" s="125"/>
      <c r="CW18" s="125"/>
      <c r="CX18" s="125"/>
      <c r="CY18" s="34"/>
      <c r="CZ18" s="127"/>
      <c r="DA18" s="125"/>
      <c r="DB18" s="128"/>
    </row>
    <row r="19" spans="1:106" ht="12.75">
      <c r="A19" s="1">
        <v>11</v>
      </c>
      <c r="B19" s="129"/>
      <c r="C19" s="34"/>
      <c r="D19" s="34"/>
      <c r="E19" s="34"/>
      <c r="F19" s="34"/>
      <c r="G19" s="126"/>
      <c r="H19" s="34"/>
      <c r="I19" s="125"/>
      <c r="J19" s="34"/>
      <c r="K19" s="34"/>
      <c r="L19" s="127"/>
      <c r="M19" s="34"/>
      <c r="N19" s="125"/>
      <c r="O19" s="34"/>
      <c r="P19" s="34"/>
      <c r="Q19" s="127"/>
      <c r="R19" s="34"/>
      <c r="S19" s="34"/>
      <c r="T19" s="34"/>
      <c r="U19" s="34"/>
      <c r="V19" s="126"/>
      <c r="W19" s="34"/>
      <c r="X19" s="125"/>
      <c r="Y19" s="34"/>
      <c r="Z19" s="34"/>
      <c r="AA19" s="127"/>
      <c r="AB19" s="34"/>
      <c r="AC19" s="125"/>
      <c r="AD19" s="34"/>
      <c r="AE19" s="34"/>
      <c r="AF19" s="127"/>
      <c r="AG19" s="34"/>
      <c r="AH19" s="34"/>
      <c r="AI19" s="34"/>
      <c r="AJ19" s="34"/>
      <c r="AK19" s="126"/>
      <c r="AL19" s="34"/>
      <c r="AM19" s="125"/>
      <c r="AN19" s="34"/>
      <c r="AO19" s="34"/>
      <c r="AP19" s="127"/>
      <c r="AQ19" s="34"/>
      <c r="AR19" s="125"/>
      <c r="AS19" s="34"/>
      <c r="AT19" s="34"/>
      <c r="AU19" s="127"/>
      <c r="AV19" s="34"/>
      <c r="AW19" s="34"/>
      <c r="AX19" s="34"/>
      <c r="AY19" s="34"/>
      <c r="AZ19" s="126"/>
      <c r="BA19" s="34"/>
      <c r="BB19" s="125"/>
      <c r="BC19" s="34"/>
      <c r="BD19" s="34"/>
      <c r="BE19" s="127"/>
      <c r="BF19" s="34"/>
      <c r="BG19" s="125"/>
      <c r="BH19" s="34"/>
      <c r="BI19" s="34"/>
      <c r="BJ19" s="127"/>
      <c r="BK19" s="34"/>
      <c r="BL19" s="34"/>
      <c r="BM19" s="34"/>
      <c r="BN19" s="34"/>
      <c r="BO19" s="126"/>
      <c r="BP19" s="34"/>
      <c r="BQ19" s="125"/>
      <c r="BR19" s="34"/>
      <c r="BS19" s="34"/>
      <c r="BT19" s="127"/>
      <c r="BU19" s="34"/>
      <c r="BV19" s="125"/>
      <c r="BW19" s="34"/>
      <c r="BX19" s="34"/>
      <c r="BY19" s="127"/>
      <c r="BZ19" s="34"/>
      <c r="CA19" s="34"/>
      <c r="CB19" s="34"/>
      <c r="CC19" s="34"/>
      <c r="CD19" s="126"/>
      <c r="CE19" s="34"/>
      <c r="CF19" s="125"/>
      <c r="CG19" s="34"/>
      <c r="CH19" s="34"/>
      <c r="CI19" s="127"/>
      <c r="CJ19" s="34"/>
      <c r="CK19" s="125"/>
      <c r="CL19" s="34"/>
      <c r="CM19" s="34"/>
      <c r="CN19" s="127"/>
      <c r="CO19" s="34"/>
      <c r="CP19" s="34"/>
      <c r="CQ19" s="34"/>
      <c r="CR19" s="34"/>
      <c r="CS19" s="126"/>
      <c r="CT19" s="34"/>
      <c r="CU19" s="125"/>
      <c r="CV19" s="34"/>
      <c r="CW19" s="34"/>
      <c r="CX19" s="127"/>
      <c r="CY19" s="34"/>
      <c r="CZ19" s="125"/>
      <c r="DA19" s="34"/>
      <c r="DB19" s="35"/>
    </row>
    <row r="20" spans="1:106" ht="12.75">
      <c r="A20" s="1">
        <v>12</v>
      </c>
      <c r="B20" s="130"/>
      <c r="C20" s="34"/>
      <c r="D20" s="126"/>
      <c r="E20" s="34"/>
      <c r="F20" s="34"/>
      <c r="G20" s="34"/>
      <c r="H20" s="34"/>
      <c r="I20" s="127"/>
      <c r="J20" s="34"/>
      <c r="K20" s="34"/>
      <c r="L20" s="34"/>
      <c r="M20" s="34"/>
      <c r="N20" s="127"/>
      <c r="O20" s="34"/>
      <c r="P20" s="34"/>
      <c r="Q20" s="34"/>
      <c r="R20" s="34"/>
      <c r="S20" s="126"/>
      <c r="T20" s="34"/>
      <c r="U20" s="34"/>
      <c r="V20" s="34"/>
      <c r="W20" s="34"/>
      <c r="X20" s="127"/>
      <c r="Y20" s="34"/>
      <c r="Z20" s="34"/>
      <c r="AA20" s="34"/>
      <c r="AB20" s="34"/>
      <c r="AC20" s="127"/>
      <c r="AD20" s="34"/>
      <c r="AE20" s="34"/>
      <c r="AF20" s="34"/>
      <c r="AG20" s="34"/>
      <c r="AH20" s="126"/>
      <c r="AI20" s="34"/>
      <c r="AJ20" s="34"/>
      <c r="AK20" s="34"/>
      <c r="AL20" s="34"/>
      <c r="AM20" s="127"/>
      <c r="AN20" s="34"/>
      <c r="AO20" s="34"/>
      <c r="AP20" s="34"/>
      <c r="AQ20" s="34"/>
      <c r="AR20" s="127"/>
      <c r="AS20" s="34"/>
      <c r="AT20" s="34"/>
      <c r="AU20" s="34"/>
      <c r="AV20" s="34"/>
      <c r="AW20" s="126"/>
      <c r="AX20" s="34"/>
      <c r="AY20" s="34"/>
      <c r="AZ20" s="34"/>
      <c r="BA20" s="34"/>
      <c r="BB20" s="127"/>
      <c r="BC20" s="34"/>
      <c r="BD20" s="34"/>
      <c r="BE20" s="34"/>
      <c r="BF20" s="34"/>
      <c r="BG20" s="127"/>
      <c r="BH20" s="34"/>
      <c r="BI20" s="34"/>
      <c r="BJ20" s="34"/>
      <c r="BK20" s="34"/>
      <c r="BL20" s="126"/>
      <c r="BM20" s="34"/>
      <c r="BN20" s="34"/>
      <c r="BO20" s="34"/>
      <c r="BP20" s="34"/>
      <c r="BQ20" s="127"/>
      <c r="BR20" s="34"/>
      <c r="BS20" s="34"/>
      <c r="BT20" s="34"/>
      <c r="BU20" s="34"/>
      <c r="BV20" s="127"/>
      <c r="BW20" s="34"/>
      <c r="BX20" s="34"/>
      <c r="BY20" s="34"/>
      <c r="BZ20" s="34"/>
      <c r="CA20" s="126"/>
      <c r="CB20" s="34"/>
      <c r="CC20" s="34"/>
      <c r="CD20" s="34"/>
      <c r="CE20" s="34"/>
      <c r="CF20" s="127"/>
      <c r="CG20" s="34"/>
      <c r="CH20" s="34"/>
      <c r="CI20" s="34"/>
      <c r="CJ20" s="34"/>
      <c r="CK20" s="127"/>
      <c r="CL20" s="34"/>
      <c r="CM20" s="34"/>
      <c r="CN20" s="34"/>
      <c r="CO20" s="34"/>
      <c r="CP20" s="126"/>
      <c r="CQ20" s="34"/>
      <c r="CR20" s="34"/>
      <c r="CS20" s="34"/>
      <c r="CT20" s="34"/>
      <c r="CU20" s="127"/>
      <c r="CV20" s="34"/>
      <c r="CW20" s="34"/>
      <c r="CX20" s="34"/>
      <c r="CY20" s="34"/>
      <c r="CZ20" s="127"/>
      <c r="DA20" s="34"/>
      <c r="DB20" s="35"/>
    </row>
    <row r="21" spans="1:106" ht="12.75">
      <c r="A21" s="1">
        <v>13</v>
      </c>
      <c r="B21" s="129"/>
      <c r="C21" s="34"/>
      <c r="D21" s="34"/>
      <c r="E21" s="34"/>
      <c r="F21" s="34"/>
      <c r="G21" s="126"/>
      <c r="H21" s="34"/>
      <c r="I21" s="34"/>
      <c r="J21" s="34"/>
      <c r="K21" s="34"/>
      <c r="L21" s="127"/>
      <c r="M21" s="34"/>
      <c r="N21" s="34"/>
      <c r="O21" s="34"/>
      <c r="P21" s="34"/>
      <c r="Q21" s="127"/>
      <c r="R21" s="34"/>
      <c r="S21" s="34"/>
      <c r="T21" s="34"/>
      <c r="U21" s="34"/>
      <c r="V21" s="126"/>
      <c r="W21" s="34"/>
      <c r="X21" s="34"/>
      <c r="Y21" s="34"/>
      <c r="Z21" s="34"/>
      <c r="AA21" s="127"/>
      <c r="AB21" s="34"/>
      <c r="AC21" s="34"/>
      <c r="AD21" s="34"/>
      <c r="AE21" s="34"/>
      <c r="AF21" s="127"/>
      <c r="AG21" s="34"/>
      <c r="AH21" s="34"/>
      <c r="AI21" s="34"/>
      <c r="AJ21" s="34"/>
      <c r="AK21" s="126"/>
      <c r="AL21" s="34"/>
      <c r="AM21" s="34"/>
      <c r="AN21" s="34"/>
      <c r="AO21" s="34"/>
      <c r="AP21" s="127"/>
      <c r="AQ21" s="34"/>
      <c r="AR21" s="34"/>
      <c r="AS21" s="34"/>
      <c r="AT21" s="34"/>
      <c r="AU21" s="127"/>
      <c r="AV21" s="34"/>
      <c r="AW21" s="34"/>
      <c r="AX21" s="34"/>
      <c r="AY21" s="34"/>
      <c r="AZ21" s="126"/>
      <c r="BA21" s="34"/>
      <c r="BB21" s="34"/>
      <c r="BC21" s="34"/>
      <c r="BD21" s="34"/>
      <c r="BE21" s="127"/>
      <c r="BF21" s="34"/>
      <c r="BG21" s="34"/>
      <c r="BH21" s="34"/>
      <c r="BI21" s="34"/>
      <c r="BJ21" s="127"/>
      <c r="BK21" s="34"/>
      <c r="BL21" s="34"/>
      <c r="BM21" s="34"/>
      <c r="BN21" s="34"/>
      <c r="BO21" s="126"/>
      <c r="BP21" s="34"/>
      <c r="BQ21" s="34"/>
      <c r="BR21" s="34"/>
      <c r="BS21" s="34"/>
      <c r="BT21" s="127"/>
      <c r="BU21" s="34"/>
      <c r="BV21" s="34"/>
      <c r="BW21" s="34"/>
      <c r="BX21" s="34"/>
      <c r="BY21" s="127"/>
      <c r="BZ21" s="34"/>
      <c r="CA21" s="34"/>
      <c r="CB21" s="34"/>
      <c r="CC21" s="34"/>
      <c r="CD21" s="126"/>
      <c r="CE21" s="34"/>
      <c r="CF21" s="34"/>
      <c r="CG21" s="34"/>
      <c r="CH21" s="34"/>
      <c r="CI21" s="127"/>
      <c r="CJ21" s="34"/>
      <c r="CK21" s="34"/>
      <c r="CL21" s="34"/>
      <c r="CM21" s="34"/>
      <c r="CN21" s="127"/>
      <c r="CO21" s="34"/>
      <c r="CP21" s="34"/>
      <c r="CQ21" s="34"/>
      <c r="CR21" s="34"/>
      <c r="CS21" s="126"/>
      <c r="CT21" s="34"/>
      <c r="CU21" s="34"/>
      <c r="CV21" s="34"/>
      <c r="CW21" s="34"/>
      <c r="CX21" s="127"/>
      <c r="CY21" s="34"/>
      <c r="CZ21" s="34"/>
      <c r="DA21" s="34"/>
      <c r="DB21" s="35"/>
    </row>
    <row r="22" spans="1:106" ht="12.75">
      <c r="A22" s="1">
        <v>14</v>
      </c>
      <c r="B22" s="130"/>
      <c r="C22" s="34"/>
      <c r="D22" s="126"/>
      <c r="E22" s="34"/>
      <c r="F22" s="34"/>
      <c r="G22" s="34"/>
      <c r="H22" s="34"/>
      <c r="I22" s="127"/>
      <c r="J22" s="34"/>
      <c r="K22" s="34"/>
      <c r="L22" s="34"/>
      <c r="M22" s="34"/>
      <c r="N22" s="127"/>
      <c r="O22" s="34"/>
      <c r="P22" s="34"/>
      <c r="Q22" s="34"/>
      <c r="R22" s="34"/>
      <c r="S22" s="126"/>
      <c r="T22" s="34"/>
      <c r="U22" s="34"/>
      <c r="V22" s="34"/>
      <c r="W22" s="34"/>
      <c r="X22" s="127"/>
      <c r="Y22" s="34"/>
      <c r="Z22" s="34"/>
      <c r="AA22" s="34"/>
      <c r="AB22" s="34"/>
      <c r="AC22" s="127"/>
      <c r="AD22" s="34"/>
      <c r="AE22" s="34"/>
      <c r="AF22" s="34"/>
      <c r="AG22" s="34"/>
      <c r="AH22" s="126"/>
      <c r="AI22" s="34"/>
      <c r="AJ22" s="34"/>
      <c r="AK22" s="34"/>
      <c r="AL22" s="34"/>
      <c r="AM22" s="127"/>
      <c r="AN22" s="34"/>
      <c r="AO22" s="34"/>
      <c r="AP22" s="34"/>
      <c r="AQ22" s="34"/>
      <c r="AR22" s="127"/>
      <c r="AS22" s="34"/>
      <c r="AT22" s="34"/>
      <c r="AU22" s="34"/>
      <c r="AV22" s="34"/>
      <c r="AW22" s="126"/>
      <c r="AX22" s="34"/>
      <c r="AY22" s="34"/>
      <c r="AZ22" s="34"/>
      <c r="BA22" s="34"/>
      <c r="BB22" s="127"/>
      <c r="BC22" s="34"/>
      <c r="BD22" s="34"/>
      <c r="BE22" s="34"/>
      <c r="BF22" s="34"/>
      <c r="BG22" s="127"/>
      <c r="BH22" s="34"/>
      <c r="BI22" s="34"/>
      <c r="BJ22" s="34"/>
      <c r="BK22" s="34"/>
      <c r="BL22" s="126"/>
      <c r="BM22" s="34"/>
      <c r="BN22" s="34"/>
      <c r="BO22" s="34"/>
      <c r="BP22" s="34"/>
      <c r="BQ22" s="127"/>
      <c r="BR22" s="34"/>
      <c r="BS22" s="34"/>
      <c r="BT22" s="34"/>
      <c r="BU22" s="34"/>
      <c r="BV22" s="127"/>
      <c r="BW22" s="34"/>
      <c r="BX22" s="34"/>
      <c r="BY22" s="34"/>
      <c r="BZ22" s="34"/>
      <c r="CA22" s="126"/>
      <c r="CB22" s="34"/>
      <c r="CC22" s="34"/>
      <c r="CD22" s="34"/>
      <c r="CE22" s="34"/>
      <c r="CF22" s="127"/>
      <c r="CG22" s="34"/>
      <c r="CH22" s="34"/>
      <c r="CI22" s="34"/>
      <c r="CJ22" s="34"/>
      <c r="CK22" s="127"/>
      <c r="CL22" s="34"/>
      <c r="CM22" s="34"/>
      <c r="CN22" s="34"/>
      <c r="CO22" s="34"/>
      <c r="CP22" s="126"/>
      <c r="CQ22" s="34"/>
      <c r="CR22" s="34"/>
      <c r="CS22" s="34"/>
      <c r="CT22" s="34"/>
      <c r="CU22" s="127"/>
      <c r="CV22" s="34"/>
      <c r="CW22" s="34"/>
      <c r="CX22" s="34"/>
      <c r="CY22" s="34"/>
      <c r="CZ22" s="127"/>
      <c r="DA22" s="34"/>
      <c r="DB22" s="35"/>
    </row>
    <row r="23" spans="1:106" ht="12.75">
      <c r="A23" s="1">
        <v>15</v>
      </c>
      <c r="B23" s="129"/>
      <c r="C23" s="34"/>
      <c r="D23" s="34"/>
      <c r="E23" s="34"/>
      <c r="F23" s="34"/>
      <c r="G23" s="126"/>
      <c r="H23" s="34"/>
      <c r="I23" s="34"/>
      <c r="J23" s="34"/>
      <c r="K23" s="34"/>
      <c r="L23" s="127"/>
      <c r="M23" s="34"/>
      <c r="N23" s="34"/>
      <c r="O23" s="34"/>
      <c r="P23" s="34"/>
      <c r="Q23" s="127"/>
      <c r="R23" s="34"/>
      <c r="S23" s="34"/>
      <c r="T23" s="34"/>
      <c r="U23" s="34"/>
      <c r="V23" s="126"/>
      <c r="W23" s="34"/>
      <c r="X23" s="34"/>
      <c r="Y23" s="34"/>
      <c r="Z23" s="34"/>
      <c r="AA23" s="127"/>
      <c r="AB23" s="34"/>
      <c r="AC23" s="34"/>
      <c r="AD23" s="34"/>
      <c r="AE23" s="34"/>
      <c r="AF23" s="127"/>
      <c r="AG23" s="34"/>
      <c r="AH23" s="34"/>
      <c r="AI23" s="34"/>
      <c r="AJ23" s="34"/>
      <c r="AK23" s="126"/>
      <c r="AL23" s="34"/>
      <c r="AM23" s="34"/>
      <c r="AN23" s="34"/>
      <c r="AO23" s="34"/>
      <c r="AP23" s="127"/>
      <c r="AQ23" s="34"/>
      <c r="AR23" s="34"/>
      <c r="AS23" s="34"/>
      <c r="AT23" s="34"/>
      <c r="AU23" s="127"/>
      <c r="AV23" s="34"/>
      <c r="AW23" s="34"/>
      <c r="AX23" s="34"/>
      <c r="AY23" s="34"/>
      <c r="AZ23" s="126"/>
      <c r="BA23" s="34"/>
      <c r="BB23" s="34"/>
      <c r="BC23" s="34"/>
      <c r="BD23" s="34"/>
      <c r="BE23" s="127"/>
      <c r="BF23" s="34"/>
      <c r="BG23" s="34"/>
      <c r="BH23" s="34"/>
      <c r="BI23" s="34"/>
      <c r="BJ23" s="127"/>
      <c r="BK23" s="34"/>
      <c r="BL23" s="34"/>
      <c r="BM23" s="34"/>
      <c r="BN23" s="34"/>
      <c r="BO23" s="126"/>
      <c r="BP23" s="34"/>
      <c r="BQ23" s="34"/>
      <c r="BR23" s="34"/>
      <c r="BS23" s="34"/>
      <c r="BT23" s="127"/>
      <c r="BU23" s="34"/>
      <c r="BV23" s="34"/>
      <c r="BW23" s="34"/>
      <c r="BX23" s="34"/>
      <c r="BY23" s="127"/>
      <c r="BZ23" s="34"/>
      <c r="CA23" s="34"/>
      <c r="CB23" s="34"/>
      <c r="CC23" s="34"/>
      <c r="CD23" s="126"/>
      <c r="CE23" s="34"/>
      <c r="CF23" s="34"/>
      <c r="CG23" s="34"/>
      <c r="CH23" s="34"/>
      <c r="CI23" s="127"/>
      <c r="CJ23" s="34"/>
      <c r="CK23" s="34"/>
      <c r="CL23" s="34"/>
      <c r="CM23" s="34"/>
      <c r="CN23" s="127"/>
      <c r="CO23" s="34"/>
      <c r="CP23" s="34"/>
      <c r="CQ23" s="34"/>
      <c r="CR23" s="34"/>
      <c r="CS23" s="126"/>
      <c r="CT23" s="34"/>
      <c r="CU23" s="34"/>
      <c r="CV23" s="34"/>
      <c r="CW23" s="34"/>
      <c r="CX23" s="127"/>
      <c r="CY23" s="34"/>
      <c r="CZ23" s="34"/>
      <c r="DA23" s="34"/>
      <c r="DB23" s="35"/>
    </row>
    <row r="24" spans="1:106" ht="12.75">
      <c r="A24" s="1">
        <v>16</v>
      </c>
      <c r="B24" s="130"/>
      <c r="C24" s="34"/>
      <c r="D24" s="126"/>
      <c r="E24" s="34"/>
      <c r="F24" s="34"/>
      <c r="G24" s="34"/>
      <c r="H24" s="34"/>
      <c r="I24" s="127"/>
      <c r="J24" s="34"/>
      <c r="K24" s="34"/>
      <c r="L24" s="34"/>
      <c r="M24" s="34"/>
      <c r="N24" s="127"/>
      <c r="O24" s="34"/>
      <c r="P24" s="34"/>
      <c r="Q24" s="34"/>
      <c r="R24" s="34"/>
      <c r="S24" s="126"/>
      <c r="T24" s="34"/>
      <c r="U24" s="34"/>
      <c r="V24" s="34"/>
      <c r="W24" s="34"/>
      <c r="X24" s="127"/>
      <c r="Y24" s="34"/>
      <c r="Z24" s="34"/>
      <c r="AA24" s="34"/>
      <c r="AB24" s="34"/>
      <c r="AC24" s="127"/>
      <c r="AD24" s="34"/>
      <c r="AE24" s="34"/>
      <c r="AF24" s="34"/>
      <c r="AG24" s="34"/>
      <c r="AH24" s="126"/>
      <c r="AI24" s="34"/>
      <c r="AJ24" s="34"/>
      <c r="AK24" s="34"/>
      <c r="AL24" s="34"/>
      <c r="AM24" s="127"/>
      <c r="AN24" s="34"/>
      <c r="AO24" s="34"/>
      <c r="AP24" s="34"/>
      <c r="AQ24" s="34"/>
      <c r="AR24" s="127"/>
      <c r="AS24" s="34"/>
      <c r="AT24" s="34"/>
      <c r="AU24" s="34"/>
      <c r="AV24" s="34"/>
      <c r="AW24" s="126"/>
      <c r="AX24" s="34"/>
      <c r="AY24" s="34"/>
      <c r="AZ24" s="34"/>
      <c r="BA24" s="34"/>
      <c r="BB24" s="127"/>
      <c r="BC24" s="34"/>
      <c r="BD24" s="34"/>
      <c r="BE24" s="34"/>
      <c r="BF24" s="34"/>
      <c r="BG24" s="127"/>
      <c r="BH24" s="34"/>
      <c r="BI24" s="34"/>
      <c r="BJ24" s="34"/>
      <c r="BK24" s="34"/>
      <c r="BL24" s="126"/>
      <c r="BM24" s="34"/>
      <c r="BN24" s="34"/>
      <c r="BO24" s="34"/>
      <c r="BP24" s="34"/>
      <c r="BQ24" s="127"/>
      <c r="BR24" s="34"/>
      <c r="BS24" s="34"/>
      <c r="BT24" s="34"/>
      <c r="BU24" s="34"/>
      <c r="BV24" s="127"/>
      <c r="BW24" s="34"/>
      <c r="BX24" s="34"/>
      <c r="BY24" s="34"/>
      <c r="BZ24" s="34"/>
      <c r="CA24" s="126"/>
      <c r="CB24" s="34"/>
      <c r="CC24" s="34"/>
      <c r="CD24" s="34"/>
      <c r="CE24" s="34"/>
      <c r="CF24" s="127"/>
      <c r="CG24" s="34"/>
      <c r="CH24" s="34"/>
      <c r="CI24" s="34"/>
      <c r="CJ24" s="34"/>
      <c r="CK24" s="127"/>
      <c r="CL24" s="34"/>
      <c r="CM24" s="34"/>
      <c r="CN24" s="34"/>
      <c r="CO24" s="34"/>
      <c r="CP24" s="126"/>
      <c r="CQ24" s="34"/>
      <c r="CR24" s="34"/>
      <c r="CS24" s="34"/>
      <c r="CT24" s="34"/>
      <c r="CU24" s="127"/>
      <c r="CV24" s="34"/>
      <c r="CW24" s="34"/>
      <c r="CX24" s="34"/>
      <c r="CY24" s="34"/>
      <c r="CZ24" s="127"/>
      <c r="DA24" s="34"/>
      <c r="DB24" s="35"/>
    </row>
    <row r="25" spans="1:106" ht="12.75">
      <c r="A25" s="1">
        <v>17</v>
      </c>
      <c r="B25" s="129"/>
      <c r="C25" s="34"/>
      <c r="D25" s="34"/>
      <c r="E25" s="34"/>
      <c r="F25" s="34"/>
      <c r="G25" s="126"/>
      <c r="H25" s="34"/>
      <c r="I25" s="34"/>
      <c r="J25" s="34"/>
      <c r="K25" s="34"/>
      <c r="L25" s="127"/>
      <c r="M25" s="34"/>
      <c r="N25" s="34"/>
      <c r="O25" s="34"/>
      <c r="P25" s="34"/>
      <c r="Q25" s="127"/>
      <c r="R25" s="34"/>
      <c r="S25" s="34"/>
      <c r="T25" s="34"/>
      <c r="U25" s="34"/>
      <c r="V25" s="126"/>
      <c r="W25" s="34"/>
      <c r="X25" s="34"/>
      <c r="Y25" s="34"/>
      <c r="Z25" s="34"/>
      <c r="AA25" s="127"/>
      <c r="AB25" s="34"/>
      <c r="AC25" s="34"/>
      <c r="AD25" s="34"/>
      <c r="AE25" s="34"/>
      <c r="AF25" s="127"/>
      <c r="AG25" s="34"/>
      <c r="AH25" s="34"/>
      <c r="AI25" s="34"/>
      <c r="AJ25" s="34"/>
      <c r="AK25" s="126"/>
      <c r="AL25" s="34"/>
      <c r="AM25" s="34"/>
      <c r="AN25" s="34"/>
      <c r="AO25" s="34"/>
      <c r="AP25" s="127"/>
      <c r="AQ25" s="34"/>
      <c r="AR25" s="34"/>
      <c r="AS25" s="34"/>
      <c r="AT25" s="34"/>
      <c r="AU25" s="127"/>
      <c r="AV25" s="34"/>
      <c r="AW25" s="34"/>
      <c r="AX25" s="34"/>
      <c r="AY25" s="34"/>
      <c r="AZ25" s="126"/>
      <c r="BA25" s="34"/>
      <c r="BB25" s="34"/>
      <c r="BC25" s="34"/>
      <c r="BD25" s="34"/>
      <c r="BE25" s="127"/>
      <c r="BF25" s="34"/>
      <c r="BG25" s="34"/>
      <c r="BH25" s="34"/>
      <c r="BI25" s="34"/>
      <c r="BJ25" s="127"/>
      <c r="BK25" s="34"/>
      <c r="BL25" s="34"/>
      <c r="BM25" s="34"/>
      <c r="BN25" s="34"/>
      <c r="BO25" s="126"/>
      <c r="BP25" s="34"/>
      <c r="BQ25" s="34"/>
      <c r="BR25" s="34"/>
      <c r="BS25" s="34"/>
      <c r="BT25" s="127"/>
      <c r="BU25" s="34"/>
      <c r="BV25" s="34"/>
      <c r="BW25" s="34"/>
      <c r="BX25" s="34"/>
      <c r="BY25" s="127"/>
      <c r="BZ25" s="34"/>
      <c r="CA25" s="34"/>
      <c r="CB25" s="34"/>
      <c r="CC25" s="34"/>
      <c r="CD25" s="126"/>
      <c r="CE25" s="34"/>
      <c r="CF25" s="34"/>
      <c r="CG25" s="34"/>
      <c r="CH25" s="34"/>
      <c r="CI25" s="127"/>
      <c r="CJ25" s="34"/>
      <c r="CK25" s="34"/>
      <c r="CL25" s="34"/>
      <c r="CM25" s="34"/>
      <c r="CN25" s="127"/>
      <c r="CO25" s="34"/>
      <c r="CP25" s="34"/>
      <c r="CQ25" s="34"/>
      <c r="CR25" s="34"/>
      <c r="CS25" s="126"/>
      <c r="CT25" s="34"/>
      <c r="CU25" s="34"/>
      <c r="CV25" s="34"/>
      <c r="CW25" s="34"/>
      <c r="CX25" s="127"/>
      <c r="CY25" s="34"/>
      <c r="CZ25" s="34"/>
      <c r="DA25" s="34"/>
      <c r="DB25" s="35"/>
    </row>
    <row r="26" spans="1:106" ht="12.75">
      <c r="A26" s="1">
        <v>18</v>
      </c>
      <c r="B26" s="124"/>
      <c r="C26" s="125"/>
      <c r="D26" s="126"/>
      <c r="E26" s="125"/>
      <c r="F26" s="125"/>
      <c r="G26" s="34"/>
      <c r="H26" s="125"/>
      <c r="I26" s="127"/>
      <c r="J26" s="125"/>
      <c r="K26" s="125"/>
      <c r="L26" s="125"/>
      <c r="M26" s="34"/>
      <c r="N26" s="127"/>
      <c r="O26" s="125"/>
      <c r="P26" s="125"/>
      <c r="Q26" s="125"/>
      <c r="R26" s="125"/>
      <c r="S26" s="126"/>
      <c r="T26" s="125"/>
      <c r="U26" s="125"/>
      <c r="V26" s="34"/>
      <c r="W26" s="125"/>
      <c r="X26" s="127"/>
      <c r="Y26" s="125"/>
      <c r="Z26" s="125"/>
      <c r="AA26" s="125"/>
      <c r="AB26" s="34"/>
      <c r="AC26" s="127"/>
      <c r="AD26" s="125"/>
      <c r="AE26" s="125"/>
      <c r="AF26" s="125"/>
      <c r="AG26" s="125"/>
      <c r="AH26" s="126"/>
      <c r="AI26" s="125"/>
      <c r="AJ26" s="125"/>
      <c r="AK26" s="34"/>
      <c r="AL26" s="125"/>
      <c r="AM26" s="127"/>
      <c r="AN26" s="125"/>
      <c r="AO26" s="125"/>
      <c r="AP26" s="125"/>
      <c r="AQ26" s="34"/>
      <c r="AR26" s="127"/>
      <c r="AS26" s="125"/>
      <c r="AT26" s="125"/>
      <c r="AU26" s="125"/>
      <c r="AV26" s="125"/>
      <c r="AW26" s="126"/>
      <c r="AX26" s="125"/>
      <c r="AY26" s="125"/>
      <c r="AZ26" s="34"/>
      <c r="BA26" s="125"/>
      <c r="BB26" s="127"/>
      <c r="BC26" s="125"/>
      <c r="BD26" s="125"/>
      <c r="BE26" s="125"/>
      <c r="BF26" s="34"/>
      <c r="BG26" s="127"/>
      <c r="BH26" s="125"/>
      <c r="BI26" s="125"/>
      <c r="BJ26" s="125"/>
      <c r="BK26" s="125"/>
      <c r="BL26" s="126"/>
      <c r="BM26" s="125"/>
      <c r="BN26" s="125"/>
      <c r="BO26" s="34"/>
      <c r="BP26" s="125"/>
      <c r="BQ26" s="127"/>
      <c r="BR26" s="125"/>
      <c r="BS26" s="125"/>
      <c r="BT26" s="125"/>
      <c r="BU26" s="34"/>
      <c r="BV26" s="127"/>
      <c r="BW26" s="125"/>
      <c r="BX26" s="125"/>
      <c r="BY26" s="125"/>
      <c r="BZ26" s="125"/>
      <c r="CA26" s="126"/>
      <c r="CB26" s="125"/>
      <c r="CC26" s="125"/>
      <c r="CD26" s="34"/>
      <c r="CE26" s="125"/>
      <c r="CF26" s="127"/>
      <c r="CG26" s="125"/>
      <c r="CH26" s="125"/>
      <c r="CI26" s="125"/>
      <c r="CJ26" s="34"/>
      <c r="CK26" s="127"/>
      <c r="CL26" s="125"/>
      <c r="CM26" s="125"/>
      <c r="CN26" s="125"/>
      <c r="CO26" s="125"/>
      <c r="CP26" s="126"/>
      <c r="CQ26" s="125"/>
      <c r="CR26" s="125"/>
      <c r="CS26" s="34"/>
      <c r="CT26" s="125"/>
      <c r="CU26" s="127"/>
      <c r="CV26" s="125"/>
      <c r="CW26" s="125"/>
      <c r="CX26" s="125"/>
      <c r="CY26" s="34"/>
      <c r="CZ26" s="127"/>
      <c r="DA26" s="125"/>
      <c r="DB26" s="128"/>
    </row>
    <row r="27" spans="1:106" ht="12.75">
      <c r="A27" s="1">
        <v>19</v>
      </c>
      <c r="B27" s="129"/>
      <c r="C27" s="34"/>
      <c r="D27" s="34"/>
      <c r="E27" s="34"/>
      <c r="F27" s="34"/>
      <c r="G27" s="126"/>
      <c r="H27" s="34"/>
      <c r="I27" s="125"/>
      <c r="J27" s="34"/>
      <c r="K27" s="34"/>
      <c r="L27" s="127"/>
      <c r="M27" s="34"/>
      <c r="N27" s="125"/>
      <c r="O27" s="34"/>
      <c r="P27" s="34"/>
      <c r="Q27" s="127"/>
      <c r="R27" s="34"/>
      <c r="S27" s="34"/>
      <c r="T27" s="34"/>
      <c r="U27" s="34"/>
      <c r="V27" s="126"/>
      <c r="W27" s="34"/>
      <c r="X27" s="125"/>
      <c r="Y27" s="34"/>
      <c r="Z27" s="34"/>
      <c r="AA27" s="127"/>
      <c r="AB27" s="34"/>
      <c r="AC27" s="125"/>
      <c r="AD27" s="34"/>
      <c r="AE27" s="34"/>
      <c r="AF27" s="127"/>
      <c r="AG27" s="34"/>
      <c r="AH27" s="34"/>
      <c r="AI27" s="34"/>
      <c r="AJ27" s="34"/>
      <c r="AK27" s="126"/>
      <c r="AL27" s="34"/>
      <c r="AM27" s="125"/>
      <c r="AN27" s="34"/>
      <c r="AO27" s="34"/>
      <c r="AP27" s="127"/>
      <c r="AQ27" s="34"/>
      <c r="AR27" s="125"/>
      <c r="AS27" s="34"/>
      <c r="AT27" s="34"/>
      <c r="AU27" s="127"/>
      <c r="AV27" s="34"/>
      <c r="AW27" s="34"/>
      <c r="AX27" s="34"/>
      <c r="AY27" s="34"/>
      <c r="AZ27" s="126"/>
      <c r="BA27" s="34"/>
      <c r="BB27" s="125"/>
      <c r="BC27" s="34"/>
      <c r="BD27" s="34"/>
      <c r="BE27" s="127"/>
      <c r="BF27" s="34"/>
      <c r="BG27" s="125"/>
      <c r="BH27" s="34"/>
      <c r="BI27" s="34"/>
      <c r="BJ27" s="127"/>
      <c r="BK27" s="34"/>
      <c r="BL27" s="34"/>
      <c r="BM27" s="34"/>
      <c r="BN27" s="34"/>
      <c r="BO27" s="126"/>
      <c r="BP27" s="34"/>
      <c r="BQ27" s="125"/>
      <c r="BR27" s="34"/>
      <c r="BS27" s="34"/>
      <c r="BT27" s="127"/>
      <c r="BU27" s="34"/>
      <c r="BV27" s="125"/>
      <c r="BW27" s="34"/>
      <c r="BX27" s="34"/>
      <c r="BY27" s="127"/>
      <c r="BZ27" s="34"/>
      <c r="CA27" s="34"/>
      <c r="CB27" s="34"/>
      <c r="CC27" s="34"/>
      <c r="CD27" s="126"/>
      <c r="CE27" s="34"/>
      <c r="CF27" s="125"/>
      <c r="CG27" s="34"/>
      <c r="CH27" s="34"/>
      <c r="CI27" s="127"/>
      <c r="CJ27" s="34"/>
      <c r="CK27" s="125"/>
      <c r="CL27" s="34"/>
      <c r="CM27" s="34"/>
      <c r="CN27" s="127"/>
      <c r="CO27" s="34"/>
      <c r="CP27" s="34"/>
      <c r="CQ27" s="34"/>
      <c r="CR27" s="34"/>
      <c r="CS27" s="126"/>
      <c r="CT27" s="34"/>
      <c r="CU27" s="125"/>
      <c r="CV27" s="34"/>
      <c r="CW27" s="34"/>
      <c r="CX27" s="127"/>
      <c r="CY27" s="34"/>
      <c r="CZ27" s="125"/>
      <c r="DA27" s="34"/>
      <c r="DB27" s="35"/>
    </row>
    <row r="28" spans="1:106" ht="12.75">
      <c r="A28" s="1">
        <v>20</v>
      </c>
      <c r="B28" s="130"/>
      <c r="C28" s="34"/>
      <c r="D28" s="126"/>
      <c r="E28" s="34"/>
      <c r="F28" s="34"/>
      <c r="G28" s="34"/>
      <c r="H28" s="34"/>
      <c r="I28" s="127"/>
      <c r="J28" s="34"/>
      <c r="K28" s="34"/>
      <c r="L28" s="34"/>
      <c r="M28" s="34"/>
      <c r="N28" s="127"/>
      <c r="O28" s="34"/>
      <c r="P28" s="34"/>
      <c r="Q28" s="34"/>
      <c r="R28" s="34"/>
      <c r="S28" s="126"/>
      <c r="T28" s="34"/>
      <c r="U28" s="34"/>
      <c r="V28" s="34"/>
      <c r="W28" s="34"/>
      <c r="X28" s="127"/>
      <c r="Y28" s="34"/>
      <c r="Z28" s="34"/>
      <c r="AA28" s="34"/>
      <c r="AB28" s="34"/>
      <c r="AC28" s="127"/>
      <c r="AD28" s="34"/>
      <c r="AE28" s="34"/>
      <c r="AF28" s="34"/>
      <c r="AG28" s="34"/>
      <c r="AH28" s="126"/>
      <c r="AI28" s="34"/>
      <c r="AJ28" s="34"/>
      <c r="AK28" s="34"/>
      <c r="AL28" s="34"/>
      <c r="AM28" s="127"/>
      <c r="AN28" s="34"/>
      <c r="AO28" s="34"/>
      <c r="AP28" s="34"/>
      <c r="AQ28" s="34"/>
      <c r="AR28" s="127"/>
      <c r="AS28" s="34"/>
      <c r="AT28" s="34"/>
      <c r="AU28" s="34"/>
      <c r="AV28" s="34"/>
      <c r="AW28" s="126"/>
      <c r="AX28" s="34"/>
      <c r="AY28" s="34"/>
      <c r="AZ28" s="34"/>
      <c r="BA28" s="34"/>
      <c r="BB28" s="127"/>
      <c r="BC28" s="34"/>
      <c r="BD28" s="34"/>
      <c r="BE28" s="34"/>
      <c r="BF28" s="34"/>
      <c r="BG28" s="127"/>
      <c r="BH28" s="34"/>
      <c r="BI28" s="34"/>
      <c r="BJ28" s="34"/>
      <c r="BK28" s="34"/>
      <c r="BL28" s="126"/>
      <c r="BM28" s="34"/>
      <c r="BN28" s="34"/>
      <c r="BO28" s="34"/>
      <c r="BP28" s="34"/>
      <c r="BQ28" s="127"/>
      <c r="BR28" s="34"/>
      <c r="BS28" s="34"/>
      <c r="BT28" s="34"/>
      <c r="BU28" s="34"/>
      <c r="BV28" s="127"/>
      <c r="BW28" s="34"/>
      <c r="BX28" s="34"/>
      <c r="BY28" s="34"/>
      <c r="BZ28" s="34"/>
      <c r="CA28" s="126"/>
      <c r="CB28" s="34"/>
      <c r="CC28" s="34"/>
      <c r="CD28" s="34"/>
      <c r="CE28" s="34"/>
      <c r="CF28" s="127"/>
      <c r="CG28" s="34"/>
      <c r="CH28" s="34"/>
      <c r="CI28" s="34"/>
      <c r="CJ28" s="34"/>
      <c r="CK28" s="127"/>
      <c r="CL28" s="34"/>
      <c r="CM28" s="34"/>
      <c r="CN28" s="34"/>
      <c r="CO28" s="34"/>
      <c r="CP28" s="126"/>
      <c r="CQ28" s="34"/>
      <c r="CR28" s="34"/>
      <c r="CS28" s="34"/>
      <c r="CT28" s="34"/>
      <c r="CU28" s="127"/>
      <c r="CV28" s="34"/>
      <c r="CW28" s="34"/>
      <c r="CX28" s="34"/>
      <c r="CY28" s="34"/>
      <c r="CZ28" s="127"/>
      <c r="DA28" s="34"/>
      <c r="DB28" s="35"/>
    </row>
    <row r="29" spans="1:106" ht="12.75">
      <c r="A29" s="1">
        <v>21</v>
      </c>
      <c r="B29" s="129"/>
      <c r="C29" s="34"/>
      <c r="D29" s="34"/>
      <c r="E29" s="34"/>
      <c r="F29" s="34"/>
      <c r="G29" s="126"/>
      <c r="H29" s="34"/>
      <c r="I29" s="34"/>
      <c r="J29" s="34"/>
      <c r="K29" s="34"/>
      <c r="L29" s="127"/>
      <c r="M29" s="34"/>
      <c r="N29" s="34"/>
      <c r="O29" s="34"/>
      <c r="P29" s="34"/>
      <c r="Q29" s="127"/>
      <c r="R29" s="34"/>
      <c r="S29" s="34"/>
      <c r="T29" s="34"/>
      <c r="U29" s="34"/>
      <c r="V29" s="126"/>
      <c r="W29" s="34"/>
      <c r="X29" s="34"/>
      <c r="Y29" s="34"/>
      <c r="Z29" s="34"/>
      <c r="AA29" s="127"/>
      <c r="AB29" s="34"/>
      <c r="AC29" s="34"/>
      <c r="AD29" s="34"/>
      <c r="AE29" s="34"/>
      <c r="AF29" s="127"/>
      <c r="AG29" s="34"/>
      <c r="AH29" s="34"/>
      <c r="AI29" s="34"/>
      <c r="AJ29" s="34"/>
      <c r="AK29" s="126"/>
      <c r="AL29" s="34"/>
      <c r="AM29" s="34"/>
      <c r="AN29" s="34"/>
      <c r="AO29" s="34"/>
      <c r="AP29" s="127"/>
      <c r="AQ29" s="34"/>
      <c r="AR29" s="34"/>
      <c r="AS29" s="34"/>
      <c r="AT29" s="34"/>
      <c r="AU29" s="127"/>
      <c r="AV29" s="34"/>
      <c r="AW29" s="34"/>
      <c r="AX29" s="34"/>
      <c r="AY29" s="34"/>
      <c r="AZ29" s="126"/>
      <c r="BA29" s="34"/>
      <c r="BB29" s="34"/>
      <c r="BC29" s="34"/>
      <c r="BD29" s="34"/>
      <c r="BE29" s="127"/>
      <c r="BF29" s="34"/>
      <c r="BG29" s="34"/>
      <c r="BH29" s="34"/>
      <c r="BI29" s="34"/>
      <c r="BJ29" s="127"/>
      <c r="BK29" s="34"/>
      <c r="BL29" s="34"/>
      <c r="BM29" s="34"/>
      <c r="BN29" s="34"/>
      <c r="BO29" s="126"/>
      <c r="BP29" s="34"/>
      <c r="BQ29" s="34"/>
      <c r="BR29" s="34"/>
      <c r="BS29" s="34"/>
      <c r="BT29" s="127"/>
      <c r="BU29" s="34"/>
      <c r="BV29" s="34"/>
      <c r="BW29" s="34"/>
      <c r="BX29" s="34"/>
      <c r="BY29" s="127"/>
      <c r="BZ29" s="34"/>
      <c r="CA29" s="34"/>
      <c r="CB29" s="34"/>
      <c r="CC29" s="34"/>
      <c r="CD29" s="126"/>
      <c r="CE29" s="34"/>
      <c r="CF29" s="34"/>
      <c r="CG29" s="34"/>
      <c r="CH29" s="34"/>
      <c r="CI29" s="127"/>
      <c r="CJ29" s="34"/>
      <c r="CK29" s="34"/>
      <c r="CL29" s="34"/>
      <c r="CM29" s="34"/>
      <c r="CN29" s="127"/>
      <c r="CO29" s="34"/>
      <c r="CP29" s="34"/>
      <c r="CQ29" s="34"/>
      <c r="CR29" s="34"/>
      <c r="CS29" s="126"/>
      <c r="CT29" s="34"/>
      <c r="CU29" s="34"/>
      <c r="CV29" s="34"/>
      <c r="CW29" s="34"/>
      <c r="CX29" s="127"/>
      <c r="CY29" s="34"/>
      <c r="CZ29" s="34"/>
      <c r="DA29" s="34"/>
      <c r="DB29" s="35"/>
    </row>
    <row r="30" spans="1:106" ht="12.75">
      <c r="A30" s="1">
        <v>22</v>
      </c>
      <c r="B30" s="130"/>
      <c r="C30" s="34"/>
      <c r="D30" s="126"/>
      <c r="E30" s="34"/>
      <c r="F30" s="34"/>
      <c r="G30" s="34"/>
      <c r="H30" s="34"/>
      <c r="I30" s="127"/>
      <c r="J30" s="34"/>
      <c r="K30" s="34"/>
      <c r="L30" s="34"/>
      <c r="M30" s="34"/>
      <c r="N30" s="127"/>
      <c r="O30" s="34"/>
      <c r="P30" s="34"/>
      <c r="Q30" s="34"/>
      <c r="R30" s="34"/>
      <c r="S30" s="126"/>
      <c r="T30" s="34"/>
      <c r="U30" s="34"/>
      <c r="V30" s="34"/>
      <c r="W30" s="34"/>
      <c r="X30" s="127"/>
      <c r="Y30" s="34"/>
      <c r="Z30" s="34"/>
      <c r="AA30" s="34"/>
      <c r="AB30" s="34"/>
      <c r="AC30" s="127"/>
      <c r="AD30" s="34"/>
      <c r="AE30" s="34"/>
      <c r="AF30" s="34"/>
      <c r="AG30" s="34"/>
      <c r="AH30" s="126"/>
      <c r="AI30" s="34"/>
      <c r="AJ30" s="34"/>
      <c r="AK30" s="34"/>
      <c r="AL30" s="34"/>
      <c r="AM30" s="127"/>
      <c r="AN30" s="34"/>
      <c r="AO30" s="34"/>
      <c r="AP30" s="34"/>
      <c r="AQ30" s="34"/>
      <c r="AR30" s="127"/>
      <c r="AS30" s="34"/>
      <c r="AT30" s="34"/>
      <c r="AU30" s="34"/>
      <c r="AV30" s="34"/>
      <c r="AW30" s="126"/>
      <c r="AX30" s="34"/>
      <c r="AY30" s="34"/>
      <c r="AZ30" s="34"/>
      <c r="BA30" s="34"/>
      <c r="BB30" s="127"/>
      <c r="BC30" s="34"/>
      <c r="BD30" s="34"/>
      <c r="BE30" s="34"/>
      <c r="BF30" s="34"/>
      <c r="BG30" s="127"/>
      <c r="BH30" s="34"/>
      <c r="BI30" s="34"/>
      <c r="BJ30" s="34"/>
      <c r="BK30" s="34"/>
      <c r="BL30" s="126"/>
      <c r="BM30" s="34"/>
      <c r="BN30" s="34"/>
      <c r="BO30" s="34"/>
      <c r="BP30" s="34"/>
      <c r="BQ30" s="127"/>
      <c r="BR30" s="34"/>
      <c r="BS30" s="34"/>
      <c r="BT30" s="34"/>
      <c r="BU30" s="34"/>
      <c r="BV30" s="127"/>
      <c r="BW30" s="34"/>
      <c r="BX30" s="34"/>
      <c r="BY30" s="34"/>
      <c r="BZ30" s="34"/>
      <c r="CA30" s="126"/>
      <c r="CB30" s="34"/>
      <c r="CC30" s="34"/>
      <c r="CD30" s="34"/>
      <c r="CE30" s="34"/>
      <c r="CF30" s="127"/>
      <c r="CG30" s="34"/>
      <c r="CH30" s="34"/>
      <c r="CI30" s="34"/>
      <c r="CJ30" s="34"/>
      <c r="CK30" s="127"/>
      <c r="CL30" s="34"/>
      <c r="CM30" s="34"/>
      <c r="CN30" s="34"/>
      <c r="CO30" s="34"/>
      <c r="CP30" s="126"/>
      <c r="CQ30" s="34"/>
      <c r="CR30" s="34"/>
      <c r="CS30" s="34"/>
      <c r="CT30" s="34"/>
      <c r="CU30" s="127"/>
      <c r="CV30" s="34"/>
      <c r="CW30" s="34"/>
      <c r="CX30" s="34"/>
      <c r="CY30" s="34"/>
      <c r="CZ30" s="127"/>
      <c r="DA30" s="34"/>
      <c r="DB30" s="35"/>
    </row>
    <row r="31" spans="1:106" ht="12.75">
      <c r="A31" s="1">
        <v>23</v>
      </c>
      <c r="B31" s="129"/>
      <c r="C31" s="34"/>
      <c r="D31" s="34"/>
      <c r="E31" s="34"/>
      <c r="F31" s="34"/>
      <c r="G31" s="126"/>
      <c r="H31" s="34"/>
      <c r="I31" s="34"/>
      <c r="J31" s="34"/>
      <c r="K31" s="34"/>
      <c r="L31" s="127"/>
      <c r="M31" s="34"/>
      <c r="N31" s="34"/>
      <c r="O31" s="34"/>
      <c r="P31" s="34"/>
      <c r="Q31" s="127"/>
      <c r="R31" s="34"/>
      <c r="S31" s="34"/>
      <c r="T31" s="34"/>
      <c r="U31" s="34"/>
      <c r="V31" s="126"/>
      <c r="W31" s="34"/>
      <c r="X31" s="34"/>
      <c r="Y31" s="34"/>
      <c r="Z31" s="34"/>
      <c r="AA31" s="127"/>
      <c r="AB31" s="34"/>
      <c r="AC31" s="34"/>
      <c r="AD31" s="34"/>
      <c r="AE31" s="34"/>
      <c r="AF31" s="127"/>
      <c r="AG31" s="34"/>
      <c r="AH31" s="34"/>
      <c r="AI31" s="34"/>
      <c r="AJ31" s="34"/>
      <c r="AK31" s="126"/>
      <c r="AL31" s="34"/>
      <c r="AM31" s="34"/>
      <c r="AN31" s="34"/>
      <c r="AO31" s="34"/>
      <c r="AP31" s="127"/>
      <c r="AQ31" s="34"/>
      <c r="AR31" s="34"/>
      <c r="AS31" s="34"/>
      <c r="AT31" s="34"/>
      <c r="AU31" s="127"/>
      <c r="AV31" s="34"/>
      <c r="AW31" s="34"/>
      <c r="AX31" s="34"/>
      <c r="AY31" s="34"/>
      <c r="AZ31" s="126"/>
      <c r="BA31" s="34"/>
      <c r="BB31" s="34"/>
      <c r="BC31" s="34"/>
      <c r="BD31" s="34"/>
      <c r="BE31" s="127"/>
      <c r="BF31" s="34"/>
      <c r="BG31" s="34"/>
      <c r="BH31" s="34"/>
      <c r="BI31" s="34"/>
      <c r="BJ31" s="127"/>
      <c r="BK31" s="34"/>
      <c r="BL31" s="34"/>
      <c r="BM31" s="34"/>
      <c r="BN31" s="34"/>
      <c r="BO31" s="126"/>
      <c r="BP31" s="34"/>
      <c r="BQ31" s="34"/>
      <c r="BR31" s="34"/>
      <c r="BS31" s="34"/>
      <c r="BT31" s="127"/>
      <c r="BU31" s="34"/>
      <c r="BV31" s="34"/>
      <c r="BW31" s="34"/>
      <c r="BX31" s="34"/>
      <c r="BY31" s="127"/>
      <c r="BZ31" s="34"/>
      <c r="CA31" s="34"/>
      <c r="CB31" s="34"/>
      <c r="CC31" s="34"/>
      <c r="CD31" s="126"/>
      <c r="CE31" s="34"/>
      <c r="CF31" s="34"/>
      <c r="CG31" s="34"/>
      <c r="CH31" s="34"/>
      <c r="CI31" s="127"/>
      <c r="CJ31" s="34"/>
      <c r="CK31" s="34"/>
      <c r="CL31" s="34"/>
      <c r="CM31" s="34"/>
      <c r="CN31" s="127"/>
      <c r="CO31" s="34"/>
      <c r="CP31" s="34"/>
      <c r="CQ31" s="34"/>
      <c r="CR31" s="34"/>
      <c r="CS31" s="126"/>
      <c r="CT31" s="34"/>
      <c r="CU31" s="34"/>
      <c r="CV31" s="34"/>
      <c r="CW31" s="34"/>
      <c r="CX31" s="127"/>
      <c r="CY31" s="34"/>
      <c r="CZ31" s="34"/>
      <c r="DA31" s="34"/>
      <c r="DB31" s="35"/>
    </row>
    <row r="32" spans="1:106" ht="12.75">
      <c r="A32" s="1">
        <v>24</v>
      </c>
      <c r="B32" s="130"/>
      <c r="C32" s="34"/>
      <c r="D32" s="126"/>
      <c r="E32" s="34"/>
      <c r="F32" s="34"/>
      <c r="G32" s="34"/>
      <c r="H32" s="34"/>
      <c r="I32" s="127"/>
      <c r="J32" s="34"/>
      <c r="K32" s="34"/>
      <c r="L32" s="34"/>
      <c r="M32" s="34"/>
      <c r="N32" s="127"/>
      <c r="O32" s="34"/>
      <c r="P32" s="34"/>
      <c r="Q32" s="34"/>
      <c r="R32" s="34"/>
      <c r="S32" s="126"/>
      <c r="T32" s="34"/>
      <c r="U32" s="34"/>
      <c r="V32" s="34"/>
      <c r="W32" s="34"/>
      <c r="X32" s="127"/>
      <c r="Y32" s="34"/>
      <c r="Z32" s="34"/>
      <c r="AA32" s="34"/>
      <c r="AB32" s="34"/>
      <c r="AC32" s="127"/>
      <c r="AD32" s="34"/>
      <c r="AE32" s="34"/>
      <c r="AF32" s="34"/>
      <c r="AG32" s="34"/>
      <c r="AH32" s="126"/>
      <c r="AI32" s="34"/>
      <c r="AJ32" s="34"/>
      <c r="AK32" s="34"/>
      <c r="AL32" s="34"/>
      <c r="AM32" s="127"/>
      <c r="AN32" s="34"/>
      <c r="AO32" s="34"/>
      <c r="AP32" s="34"/>
      <c r="AQ32" s="34"/>
      <c r="AR32" s="127"/>
      <c r="AS32" s="34"/>
      <c r="AT32" s="34"/>
      <c r="AU32" s="34"/>
      <c r="AV32" s="34"/>
      <c r="AW32" s="126"/>
      <c r="AX32" s="34"/>
      <c r="AY32" s="34"/>
      <c r="AZ32" s="34"/>
      <c r="BA32" s="34"/>
      <c r="BB32" s="127"/>
      <c r="BC32" s="34"/>
      <c r="BD32" s="34"/>
      <c r="BE32" s="34"/>
      <c r="BF32" s="34"/>
      <c r="BG32" s="127"/>
      <c r="BH32" s="34"/>
      <c r="BI32" s="34"/>
      <c r="BJ32" s="34"/>
      <c r="BK32" s="34"/>
      <c r="BL32" s="126"/>
      <c r="BM32" s="34"/>
      <c r="BN32" s="34"/>
      <c r="BO32" s="34"/>
      <c r="BP32" s="34"/>
      <c r="BQ32" s="127"/>
      <c r="BR32" s="34"/>
      <c r="BS32" s="34"/>
      <c r="BT32" s="34"/>
      <c r="BU32" s="34"/>
      <c r="BV32" s="127"/>
      <c r="BW32" s="34"/>
      <c r="BX32" s="34"/>
      <c r="BY32" s="34"/>
      <c r="BZ32" s="34"/>
      <c r="CA32" s="126"/>
      <c r="CB32" s="34"/>
      <c r="CC32" s="34"/>
      <c r="CD32" s="34"/>
      <c r="CE32" s="34"/>
      <c r="CF32" s="127"/>
      <c r="CG32" s="34"/>
      <c r="CH32" s="34"/>
      <c r="CI32" s="34"/>
      <c r="CJ32" s="34"/>
      <c r="CK32" s="127"/>
      <c r="CL32" s="34"/>
      <c r="CM32" s="34"/>
      <c r="CN32" s="34"/>
      <c r="CO32" s="34"/>
      <c r="CP32" s="126"/>
      <c r="CQ32" s="34"/>
      <c r="CR32" s="34"/>
      <c r="CS32" s="34"/>
      <c r="CT32" s="34"/>
      <c r="CU32" s="127"/>
      <c r="CV32" s="34"/>
      <c r="CW32" s="34"/>
      <c r="CX32" s="34"/>
      <c r="CY32" s="34"/>
      <c r="CZ32" s="127"/>
      <c r="DA32" s="34"/>
      <c r="DB32" s="35"/>
    </row>
    <row r="33" spans="1:106" ht="12.75">
      <c r="A33" s="1">
        <v>25</v>
      </c>
      <c r="B33" s="129"/>
      <c r="C33" s="34"/>
      <c r="D33" s="34"/>
      <c r="E33" s="34"/>
      <c r="F33" s="34"/>
      <c r="G33" s="126"/>
      <c r="H33" s="34"/>
      <c r="I33" s="34"/>
      <c r="J33" s="34"/>
      <c r="K33" s="34"/>
      <c r="L33" s="127"/>
      <c r="M33" s="34"/>
      <c r="N33" s="34"/>
      <c r="O33" s="34"/>
      <c r="P33" s="34"/>
      <c r="Q33" s="127"/>
      <c r="R33" s="34"/>
      <c r="S33" s="34"/>
      <c r="T33" s="34"/>
      <c r="U33" s="34"/>
      <c r="V33" s="126"/>
      <c r="W33" s="34"/>
      <c r="X33" s="34"/>
      <c r="Y33" s="34"/>
      <c r="Z33" s="34"/>
      <c r="AA33" s="127"/>
      <c r="AB33" s="34"/>
      <c r="AC33" s="34"/>
      <c r="AD33" s="34"/>
      <c r="AE33" s="34"/>
      <c r="AF33" s="127"/>
      <c r="AG33" s="34"/>
      <c r="AH33" s="34"/>
      <c r="AI33" s="34"/>
      <c r="AJ33" s="34"/>
      <c r="AK33" s="126"/>
      <c r="AL33" s="34"/>
      <c r="AM33" s="34"/>
      <c r="AN33" s="34"/>
      <c r="AO33" s="34"/>
      <c r="AP33" s="127"/>
      <c r="AQ33" s="34"/>
      <c r="AR33" s="34"/>
      <c r="AS33" s="34"/>
      <c r="AT33" s="34"/>
      <c r="AU33" s="127"/>
      <c r="AV33" s="34"/>
      <c r="AW33" s="34"/>
      <c r="AX33" s="34"/>
      <c r="AY33" s="34"/>
      <c r="AZ33" s="126"/>
      <c r="BA33" s="34"/>
      <c r="BB33" s="34"/>
      <c r="BC33" s="34"/>
      <c r="BD33" s="34"/>
      <c r="BE33" s="127"/>
      <c r="BF33" s="34"/>
      <c r="BG33" s="34"/>
      <c r="BH33" s="34"/>
      <c r="BI33" s="34"/>
      <c r="BJ33" s="127"/>
      <c r="BK33" s="34"/>
      <c r="BL33" s="34"/>
      <c r="BM33" s="34"/>
      <c r="BN33" s="34"/>
      <c r="BO33" s="126"/>
      <c r="BP33" s="34"/>
      <c r="BQ33" s="34"/>
      <c r="BR33" s="34"/>
      <c r="BS33" s="34"/>
      <c r="BT33" s="127"/>
      <c r="BU33" s="34"/>
      <c r="BV33" s="34"/>
      <c r="BW33" s="34"/>
      <c r="BX33" s="34"/>
      <c r="BY33" s="127"/>
      <c r="BZ33" s="34"/>
      <c r="CA33" s="34"/>
      <c r="CB33" s="34"/>
      <c r="CC33" s="34"/>
      <c r="CD33" s="126"/>
      <c r="CE33" s="34"/>
      <c r="CF33" s="34"/>
      <c r="CG33" s="34"/>
      <c r="CH33" s="34"/>
      <c r="CI33" s="127"/>
      <c r="CJ33" s="34"/>
      <c r="CK33" s="34"/>
      <c r="CL33" s="34"/>
      <c r="CM33" s="34"/>
      <c r="CN33" s="127"/>
      <c r="CO33" s="34"/>
      <c r="CP33" s="34"/>
      <c r="CQ33" s="34"/>
      <c r="CR33" s="34"/>
      <c r="CS33" s="126"/>
      <c r="CT33" s="34"/>
      <c r="CU33" s="34"/>
      <c r="CV33" s="34"/>
      <c r="CW33" s="34"/>
      <c r="CX33" s="127"/>
      <c r="CY33" s="34"/>
      <c r="CZ33" s="34"/>
      <c r="DA33" s="34"/>
      <c r="DB33" s="35"/>
    </row>
    <row r="34" spans="1:106" ht="12.75">
      <c r="A34" s="1">
        <v>26</v>
      </c>
      <c r="B34" s="124"/>
      <c r="C34" s="125"/>
      <c r="D34" s="126"/>
      <c r="E34" s="125"/>
      <c r="F34" s="125"/>
      <c r="G34" s="34"/>
      <c r="H34" s="125"/>
      <c r="I34" s="127"/>
      <c r="J34" s="125"/>
      <c r="K34" s="125"/>
      <c r="L34" s="125"/>
      <c r="M34" s="34"/>
      <c r="N34" s="127"/>
      <c r="O34" s="125"/>
      <c r="P34" s="125"/>
      <c r="Q34" s="125"/>
      <c r="R34" s="125"/>
      <c r="S34" s="126"/>
      <c r="T34" s="125"/>
      <c r="U34" s="125"/>
      <c r="V34" s="34"/>
      <c r="W34" s="125"/>
      <c r="X34" s="127"/>
      <c r="Y34" s="125"/>
      <c r="Z34" s="125"/>
      <c r="AA34" s="125"/>
      <c r="AB34" s="34"/>
      <c r="AC34" s="127"/>
      <c r="AD34" s="125"/>
      <c r="AE34" s="125"/>
      <c r="AF34" s="125"/>
      <c r="AG34" s="125"/>
      <c r="AH34" s="126"/>
      <c r="AI34" s="125"/>
      <c r="AJ34" s="125"/>
      <c r="AK34" s="34"/>
      <c r="AL34" s="125"/>
      <c r="AM34" s="127"/>
      <c r="AN34" s="125"/>
      <c r="AO34" s="125"/>
      <c r="AP34" s="125"/>
      <c r="AQ34" s="34"/>
      <c r="AR34" s="127"/>
      <c r="AS34" s="125"/>
      <c r="AT34" s="125"/>
      <c r="AU34" s="125"/>
      <c r="AV34" s="125"/>
      <c r="AW34" s="126"/>
      <c r="AX34" s="125"/>
      <c r="AY34" s="125"/>
      <c r="AZ34" s="34"/>
      <c r="BA34" s="125"/>
      <c r="BB34" s="127"/>
      <c r="BC34" s="125"/>
      <c r="BD34" s="125"/>
      <c r="BE34" s="125"/>
      <c r="BF34" s="34"/>
      <c r="BG34" s="127"/>
      <c r="BH34" s="125"/>
      <c r="BI34" s="125"/>
      <c r="BJ34" s="125"/>
      <c r="BK34" s="125"/>
      <c r="BL34" s="126"/>
      <c r="BM34" s="125"/>
      <c r="BN34" s="125"/>
      <c r="BO34" s="34"/>
      <c r="BP34" s="125"/>
      <c r="BQ34" s="127"/>
      <c r="BR34" s="125"/>
      <c r="BS34" s="125"/>
      <c r="BT34" s="125"/>
      <c r="BU34" s="34"/>
      <c r="BV34" s="127"/>
      <c r="BW34" s="125"/>
      <c r="BX34" s="125"/>
      <c r="BY34" s="125"/>
      <c r="BZ34" s="125"/>
      <c r="CA34" s="126"/>
      <c r="CB34" s="125"/>
      <c r="CC34" s="125"/>
      <c r="CD34" s="34"/>
      <c r="CE34" s="125"/>
      <c r="CF34" s="127"/>
      <c r="CG34" s="125"/>
      <c r="CH34" s="125"/>
      <c r="CI34" s="125"/>
      <c r="CJ34" s="34"/>
      <c r="CK34" s="127"/>
      <c r="CL34" s="125"/>
      <c r="CM34" s="125"/>
      <c r="CN34" s="125"/>
      <c r="CO34" s="125"/>
      <c r="CP34" s="126"/>
      <c r="CQ34" s="125"/>
      <c r="CR34" s="125"/>
      <c r="CS34" s="34"/>
      <c r="CT34" s="125"/>
      <c r="CU34" s="127"/>
      <c r="CV34" s="125"/>
      <c r="CW34" s="125"/>
      <c r="CX34" s="125"/>
      <c r="CY34" s="34"/>
      <c r="CZ34" s="127"/>
      <c r="DA34" s="125"/>
      <c r="DB34" s="128"/>
    </row>
    <row r="35" spans="1:106" ht="12.75">
      <c r="A35" s="1">
        <v>27</v>
      </c>
      <c r="B35" s="129"/>
      <c r="C35" s="34"/>
      <c r="D35" s="34"/>
      <c r="E35" s="34"/>
      <c r="F35" s="34"/>
      <c r="G35" s="126"/>
      <c r="H35" s="34"/>
      <c r="I35" s="125"/>
      <c r="J35" s="34"/>
      <c r="K35" s="34"/>
      <c r="L35" s="127"/>
      <c r="M35" s="34"/>
      <c r="N35" s="125"/>
      <c r="O35" s="34"/>
      <c r="P35" s="34"/>
      <c r="Q35" s="127"/>
      <c r="R35" s="34"/>
      <c r="S35" s="34"/>
      <c r="T35" s="34"/>
      <c r="U35" s="34"/>
      <c r="V35" s="126"/>
      <c r="W35" s="34"/>
      <c r="X35" s="125"/>
      <c r="Y35" s="34"/>
      <c r="Z35" s="34"/>
      <c r="AA35" s="127"/>
      <c r="AB35" s="34"/>
      <c r="AC35" s="125"/>
      <c r="AD35" s="34"/>
      <c r="AE35" s="34"/>
      <c r="AF35" s="127"/>
      <c r="AG35" s="34"/>
      <c r="AH35" s="34"/>
      <c r="AI35" s="34"/>
      <c r="AJ35" s="34"/>
      <c r="AK35" s="126"/>
      <c r="AL35" s="34"/>
      <c r="AM35" s="125"/>
      <c r="AN35" s="34"/>
      <c r="AO35" s="34"/>
      <c r="AP35" s="127"/>
      <c r="AQ35" s="34"/>
      <c r="AR35" s="125"/>
      <c r="AS35" s="34"/>
      <c r="AT35" s="34"/>
      <c r="AU35" s="127"/>
      <c r="AV35" s="34"/>
      <c r="AW35" s="34"/>
      <c r="AX35" s="34"/>
      <c r="AY35" s="34"/>
      <c r="AZ35" s="126"/>
      <c r="BA35" s="34"/>
      <c r="BB35" s="125"/>
      <c r="BC35" s="34"/>
      <c r="BD35" s="34"/>
      <c r="BE35" s="127"/>
      <c r="BF35" s="34"/>
      <c r="BG35" s="125"/>
      <c r="BH35" s="34"/>
      <c r="BI35" s="34"/>
      <c r="BJ35" s="127"/>
      <c r="BK35" s="34"/>
      <c r="BL35" s="34"/>
      <c r="BM35" s="34"/>
      <c r="BN35" s="34"/>
      <c r="BO35" s="126"/>
      <c r="BP35" s="34"/>
      <c r="BQ35" s="125"/>
      <c r="BR35" s="34"/>
      <c r="BS35" s="34"/>
      <c r="BT35" s="127"/>
      <c r="BU35" s="34"/>
      <c r="BV35" s="125"/>
      <c r="BW35" s="34"/>
      <c r="BX35" s="34"/>
      <c r="BY35" s="127"/>
      <c r="BZ35" s="34"/>
      <c r="CA35" s="34"/>
      <c r="CB35" s="34"/>
      <c r="CC35" s="34"/>
      <c r="CD35" s="126"/>
      <c r="CE35" s="34"/>
      <c r="CF35" s="125"/>
      <c r="CG35" s="34"/>
      <c r="CH35" s="34"/>
      <c r="CI35" s="127"/>
      <c r="CJ35" s="34"/>
      <c r="CK35" s="125"/>
      <c r="CL35" s="34"/>
      <c r="CM35" s="34"/>
      <c r="CN35" s="127"/>
      <c r="CO35" s="34"/>
      <c r="CP35" s="34"/>
      <c r="CQ35" s="34"/>
      <c r="CR35" s="34"/>
      <c r="CS35" s="126"/>
      <c r="CT35" s="34"/>
      <c r="CU35" s="125"/>
      <c r="CV35" s="34"/>
      <c r="CW35" s="34"/>
      <c r="CX35" s="127"/>
      <c r="CY35" s="34"/>
      <c r="CZ35" s="125"/>
      <c r="DA35" s="34"/>
      <c r="DB35" s="35"/>
    </row>
    <row r="36" spans="1:106" ht="12.75">
      <c r="A36" s="1">
        <v>28</v>
      </c>
      <c r="B36" s="130"/>
      <c r="C36" s="34"/>
      <c r="D36" s="126"/>
      <c r="E36" s="34"/>
      <c r="F36" s="34"/>
      <c r="G36" s="34"/>
      <c r="H36" s="34"/>
      <c r="I36" s="127"/>
      <c r="J36" s="34"/>
      <c r="K36" s="34"/>
      <c r="L36" s="34"/>
      <c r="M36" s="34"/>
      <c r="N36" s="127"/>
      <c r="O36" s="34"/>
      <c r="P36" s="34"/>
      <c r="Q36" s="34"/>
      <c r="R36" s="34"/>
      <c r="S36" s="126"/>
      <c r="T36" s="34"/>
      <c r="U36" s="34"/>
      <c r="V36" s="34"/>
      <c r="W36" s="34"/>
      <c r="X36" s="127"/>
      <c r="Y36" s="34"/>
      <c r="Z36" s="34"/>
      <c r="AA36" s="34"/>
      <c r="AB36" s="34"/>
      <c r="AC36" s="127"/>
      <c r="AD36" s="34"/>
      <c r="AE36" s="34"/>
      <c r="AF36" s="34"/>
      <c r="AG36" s="34"/>
      <c r="AH36" s="126"/>
      <c r="AI36" s="34"/>
      <c r="AJ36" s="34"/>
      <c r="AK36" s="34"/>
      <c r="AL36" s="34"/>
      <c r="AM36" s="127"/>
      <c r="AN36" s="34"/>
      <c r="AO36" s="34"/>
      <c r="AP36" s="34"/>
      <c r="AQ36" s="34"/>
      <c r="AR36" s="127"/>
      <c r="AS36" s="34"/>
      <c r="AT36" s="34"/>
      <c r="AU36" s="34"/>
      <c r="AV36" s="34"/>
      <c r="AW36" s="126"/>
      <c r="AX36" s="34"/>
      <c r="AY36" s="34"/>
      <c r="AZ36" s="34"/>
      <c r="BA36" s="34"/>
      <c r="BB36" s="127"/>
      <c r="BC36" s="34"/>
      <c r="BD36" s="34"/>
      <c r="BE36" s="34"/>
      <c r="BF36" s="34"/>
      <c r="BG36" s="127"/>
      <c r="BH36" s="34"/>
      <c r="BI36" s="34"/>
      <c r="BJ36" s="34"/>
      <c r="BK36" s="34"/>
      <c r="BL36" s="126"/>
      <c r="BM36" s="34"/>
      <c r="BN36" s="34"/>
      <c r="BO36" s="34"/>
      <c r="BP36" s="34"/>
      <c r="BQ36" s="127"/>
      <c r="BR36" s="34"/>
      <c r="BS36" s="34"/>
      <c r="BT36" s="34"/>
      <c r="BU36" s="34"/>
      <c r="BV36" s="127"/>
      <c r="BW36" s="34"/>
      <c r="BX36" s="34"/>
      <c r="BY36" s="34"/>
      <c r="BZ36" s="34"/>
      <c r="CA36" s="126"/>
      <c r="CB36" s="34"/>
      <c r="CC36" s="34"/>
      <c r="CD36" s="34"/>
      <c r="CE36" s="34"/>
      <c r="CF36" s="127"/>
      <c r="CG36" s="34"/>
      <c r="CH36" s="34"/>
      <c r="CI36" s="34"/>
      <c r="CJ36" s="34"/>
      <c r="CK36" s="127"/>
      <c r="CL36" s="34"/>
      <c r="CM36" s="34"/>
      <c r="CN36" s="34"/>
      <c r="CO36" s="34"/>
      <c r="CP36" s="126"/>
      <c r="CQ36" s="34"/>
      <c r="CR36" s="34"/>
      <c r="CS36" s="34"/>
      <c r="CT36" s="34"/>
      <c r="CU36" s="127"/>
      <c r="CV36" s="34"/>
      <c r="CW36" s="34"/>
      <c r="CX36" s="34"/>
      <c r="CY36" s="34"/>
      <c r="CZ36" s="127"/>
      <c r="DA36" s="34"/>
      <c r="DB36" s="35"/>
    </row>
    <row r="37" spans="1:106" ht="12.75">
      <c r="A37" s="1">
        <v>29</v>
      </c>
      <c r="B37" s="129"/>
      <c r="C37" s="34"/>
      <c r="D37" s="34"/>
      <c r="E37" s="34"/>
      <c r="F37" s="34"/>
      <c r="G37" s="126"/>
      <c r="H37" s="34"/>
      <c r="I37" s="34"/>
      <c r="J37" s="34"/>
      <c r="K37" s="34"/>
      <c r="L37" s="127"/>
      <c r="M37" s="34"/>
      <c r="N37" s="34"/>
      <c r="O37" s="34"/>
      <c r="P37" s="34"/>
      <c r="Q37" s="127"/>
      <c r="R37" s="34"/>
      <c r="S37" s="34"/>
      <c r="T37" s="34"/>
      <c r="U37" s="34"/>
      <c r="V37" s="126"/>
      <c r="W37" s="34"/>
      <c r="X37" s="34"/>
      <c r="Y37" s="34"/>
      <c r="Z37" s="34"/>
      <c r="AA37" s="127"/>
      <c r="AB37" s="34"/>
      <c r="AC37" s="34"/>
      <c r="AD37" s="34"/>
      <c r="AE37" s="34"/>
      <c r="AF37" s="127"/>
      <c r="AG37" s="34"/>
      <c r="AH37" s="34"/>
      <c r="AI37" s="34"/>
      <c r="AJ37" s="34"/>
      <c r="AK37" s="126"/>
      <c r="AL37" s="34"/>
      <c r="AM37" s="34"/>
      <c r="AN37" s="34"/>
      <c r="AO37" s="34"/>
      <c r="AP37" s="127"/>
      <c r="AQ37" s="34"/>
      <c r="AR37" s="34"/>
      <c r="AS37" s="34"/>
      <c r="AT37" s="34"/>
      <c r="AU37" s="127"/>
      <c r="AV37" s="34"/>
      <c r="AW37" s="34"/>
      <c r="AX37" s="34"/>
      <c r="AY37" s="34"/>
      <c r="AZ37" s="126"/>
      <c r="BA37" s="34"/>
      <c r="BB37" s="34"/>
      <c r="BC37" s="34"/>
      <c r="BD37" s="34"/>
      <c r="BE37" s="127"/>
      <c r="BF37" s="34"/>
      <c r="BG37" s="34"/>
      <c r="BH37" s="34"/>
      <c r="BI37" s="34"/>
      <c r="BJ37" s="127"/>
      <c r="BK37" s="34"/>
      <c r="BL37" s="34"/>
      <c r="BM37" s="34"/>
      <c r="BN37" s="34"/>
      <c r="BO37" s="126"/>
      <c r="BP37" s="34"/>
      <c r="BQ37" s="34"/>
      <c r="BR37" s="34"/>
      <c r="BS37" s="34"/>
      <c r="BT37" s="127"/>
      <c r="BU37" s="34"/>
      <c r="BV37" s="34"/>
      <c r="BW37" s="34"/>
      <c r="BX37" s="34"/>
      <c r="BY37" s="127"/>
      <c r="BZ37" s="34"/>
      <c r="CA37" s="34"/>
      <c r="CB37" s="34"/>
      <c r="CC37" s="34"/>
      <c r="CD37" s="126"/>
      <c r="CE37" s="34"/>
      <c r="CF37" s="34"/>
      <c r="CG37" s="34"/>
      <c r="CH37" s="34"/>
      <c r="CI37" s="127"/>
      <c r="CJ37" s="34"/>
      <c r="CK37" s="34"/>
      <c r="CL37" s="34"/>
      <c r="CM37" s="34"/>
      <c r="CN37" s="127"/>
      <c r="CO37" s="34"/>
      <c r="CP37" s="34"/>
      <c r="CQ37" s="34"/>
      <c r="CR37" s="34"/>
      <c r="CS37" s="126"/>
      <c r="CT37" s="34"/>
      <c r="CU37" s="34"/>
      <c r="CV37" s="34"/>
      <c r="CW37" s="34"/>
      <c r="CX37" s="127"/>
      <c r="CY37" s="34"/>
      <c r="CZ37" s="34"/>
      <c r="DA37" s="34"/>
      <c r="DB37" s="35"/>
    </row>
    <row r="38" spans="1:106" ht="12.75">
      <c r="A38" s="1">
        <v>30</v>
      </c>
      <c r="B38" s="130"/>
      <c r="C38" s="34"/>
      <c r="D38" s="126"/>
      <c r="E38" s="34"/>
      <c r="F38" s="34"/>
      <c r="G38" s="34"/>
      <c r="H38" s="34"/>
      <c r="I38" s="127"/>
      <c r="J38" s="34"/>
      <c r="K38" s="34"/>
      <c r="L38" s="34"/>
      <c r="M38" s="34"/>
      <c r="N38" s="127"/>
      <c r="O38" s="34"/>
      <c r="P38" s="34"/>
      <c r="Q38" s="34"/>
      <c r="R38" s="34"/>
      <c r="S38" s="126"/>
      <c r="T38" s="34"/>
      <c r="U38" s="34"/>
      <c r="V38" s="34"/>
      <c r="W38" s="34"/>
      <c r="X38" s="127"/>
      <c r="Y38" s="34"/>
      <c r="Z38" s="34"/>
      <c r="AA38" s="34"/>
      <c r="AB38" s="34"/>
      <c r="AC38" s="127"/>
      <c r="AD38" s="34"/>
      <c r="AE38" s="34"/>
      <c r="AF38" s="34"/>
      <c r="AG38" s="34"/>
      <c r="AH38" s="126"/>
      <c r="AI38" s="34"/>
      <c r="AJ38" s="34"/>
      <c r="AK38" s="34"/>
      <c r="AL38" s="34"/>
      <c r="AM38" s="127"/>
      <c r="AN38" s="34"/>
      <c r="AO38" s="34"/>
      <c r="AP38" s="34"/>
      <c r="AQ38" s="34"/>
      <c r="AR38" s="127"/>
      <c r="AS38" s="34"/>
      <c r="AT38" s="34"/>
      <c r="AU38" s="34"/>
      <c r="AV38" s="34"/>
      <c r="AW38" s="126"/>
      <c r="AX38" s="34"/>
      <c r="AY38" s="34"/>
      <c r="AZ38" s="34"/>
      <c r="BA38" s="34"/>
      <c r="BB38" s="127"/>
      <c r="BC38" s="34"/>
      <c r="BD38" s="34"/>
      <c r="BE38" s="34"/>
      <c r="BF38" s="34"/>
      <c r="BG38" s="127"/>
      <c r="BH38" s="34"/>
      <c r="BI38" s="34"/>
      <c r="BJ38" s="34"/>
      <c r="BK38" s="34"/>
      <c r="BL38" s="126"/>
      <c r="BM38" s="34"/>
      <c r="BN38" s="34"/>
      <c r="BO38" s="34"/>
      <c r="BP38" s="34"/>
      <c r="BQ38" s="127"/>
      <c r="BR38" s="34"/>
      <c r="BS38" s="34"/>
      <c r="BT38" s="34"/>
      <c r="BU38" s="34"/>
      <c r="BV38" s="127"/>
      <c r="BW38" s="34"/>
      <c r="BX38" s="34"/>
      <c r="BY38" s="34"/>
      <c r="BZ38" s="34"/>
      <c r="CA38" s="126"/>
      <c r="CB38" s="34"/>
      <c r="CC38" s="34"/>
      <c r="CD38" s="34"/>
      <c r="CE38" s="34"/>
      <c r="CF38" s="127"/>
      <c r="CG38" s="34"/>
      <c r="CH38" s="34"/>
      <c r="CI38" s="34"/>
      <c r="CJ38" s="34"/>
      <c r="CK38" s="127"/>
      <c r="CL38" s="34"/>
      <c r="CM38" s="34"/>
      <c r="CN38" s="34"/>
      <c r="CO38" s="34"/>
      <c r="CP38" s="126"/>
      <c r="CQ38" s="34"/>
      <c r="CR38" s="34"/>
      <c r="CS38" s="34"/>
      <c r="CT38" s="34"/>
      <c r="CU38" s="127"/>
      <c r="CV38" s="34"/>
      <c r="CW38" s="34"/>
      <c r="CX38" s="34"/>
      <c r="CY38" s="34"/>
      <c r="CZ38" s="127"/>
      <c r="DA38" s="34"/>
      <c r="DB38" s="35"/>
    </row>
    <row r="39" spans="1:106" ht="12.75">
      <c r="A39" s="1">
        <v>31</v>
      </c>
      <c r="B39" s="129"/>
      <c r="C39" s="34"/>
      <c r="D39" s="34"/>
      <c r="E39" s="34"/>
      <c r="F39" s="34"/>
      <c r="G39" s="126"/>
      <c r="H39" s="34"/>
      <c r="I39" s="34"/>
      <c r="J39" s="34"/>
      <c r="K39" s="34"/>
      <c r="L39" s="127"/>
      <c r="M39" s="34"/>
      <c r="N39" s="34"/>
      <c r="O39" s="34"/>
      <c r="P39" s="34"/>
      <c r="Q39" s="127"/>
      <c r="R39" s="34"/>
      <c r="S39" s="34"/>
      <c r="T39" s="34"/>
      <c r="U39" s="34"/>
      <c r="V39" s="126"/>
      <c r="W39" s="34"/>
      <c r="X39" s="34"/>
      <c r="Y39" s="34"/>
      <c r="Z39" s="34"/>
      <c r="AA39" s="127"/>
      <c r="AB39" s="34"/>
      <c r="AC39" s="34"/>
      <c r="AD39" s="34"/>
      <c r="AE39" s="34"/>
      <c r="AF39" s="127"/>
      <c r="AG39" s="34"/>
      <c r="AH39" s="34"/>
      <c r="AI39" s="34"/>
      <c r="AJ39" s="34"/>
      <c r="AK39" s="126"/>
      <c r="AL39" s="34"/>
      <c r="AM39" s="34"/>
      <c r="AN39" s="34"/>
      <c r="AO39" s="34"/>
      <c r="AP39" s="127"/>
      <c r="AQ39" s="34"/>
      <c r="AR39" s="34"/>
      <c r="AS39" s="34"/>
      <c r="AT39" s="34"/>
      <c r="AU39" s="127"/>
      <c r="AV39" s="34"/>
      <c r="AW39" s="34"/>
      <c r="AX39" s="34"/>
      <c r="AY39" s="34"/>
      <c r="AZ39" s="126"/>
      <c r="BA39" s="34"/>
      <c r="BB39" s="34"/>
      <c r="BC39" s="34"/>
      <c r="BD39" s="34"/>
      <c r="BE39" s="127"/>
      <c r="BF39" s="34"/>
      <c r="BG39" s="34"/>
      <c r="BH39" s="34"/>
      <c r="BI39" s="34"/>
      <c r="BJ39" s="127"/>
      <c r="BK39" s="34"/>
      <c r="BL39" s="34"/>
      <c r="BM39" s="34"/>
      <c r="BN39" s="34"/>
      <c r="BO39" s="126"/>
      <c r="BP39" s="34"/>
      <c r="BQ39" s="34"/>
      <c r="BR39" s="34"/>
      <c r="BS39" s="34"/>
      <c r="BT39" s="127"/>
      <c r="BU39" s="34"/>
      <c r="BV39" s="34"/>
      <c r="BW39" s="34"/>
      <c r="BX39" s="34"/>
      <c r="BY39" s="127"/>
      <c r="BZ39" s="34"/>
      <c r="CA39" s="34"/>
      <c r="CB39" s="34"/>
      <c r="CC39" s="34"/>
      <c r="CD39" s="126"/>
      <c r="CE39" s="34"/>
      <c r="CF39" s="34"/>
      <c r="CG39" s="34"/>
      <c r="CH39" s="34"/>
      <c r="CI39" s="127"/>
      <c r="CJ39" s="34"/>
      <c r="CK39" s="34"/>
      <c r="CL39" s="34"/>
      <c r="CM39" s="34"/>
      <c r="CN39" s="127"/>
      <c r="CO39" s="34"/>
      <c r="CP39" s="34"/>
      <c r="CQ39" s="34"/>
      <c r="CR39" s="34"/>
      <c r="CS39" s="126"/>
      <c r="CT39" s="34"/>
      <c r="CU39" s="34"/>
      <c r="CV39" s="34"/>
      <c r="CW39" s="34"/>
      <c r="CX39" s="127"/>
      <c r="CY39" s="34"/>
      <c r="CZ39" s="34"/>
      <c r="DA39" s="34"/>
      <c r="DB39" s="35"/>
    </row>
    <row r="40" spans="1:106" ht="12.75">
      <c r="A40" s="1">
        <v>32</v>
      </c>
      <c r="B40" s="130"/>
      <c r="C40" s="34"/>
      <c r="D40" s="126"/>
      <c r="E40" s="34"/>
      <c r="F40" s="34"/>
      <c r="G40" s="34"/>
      <c r="H40" s="34"/>
      <c r="I40" s="127"/>
      <c r="J40" s="34"/>
      <c r="K40" s="34"/>
      <c r="L40" s="34"/>
      <c r="M40" s="34"/>
      <c r="N40" s="127"/>
      <c r="O40" s="34"/>
      <c r="P40" s="34"/>
      <c r="Q40" s="34"/>
      <c r="R40" s="34"/>
      <c r="S40" s="126"/>
      <c r="T40" s="34"/>
      <c r="U40" s="34"/>
      <c r="V40" s="34"/>
      <c r="W40" s="34"/>
      <c r="X40" s="127"/>
      <c r="Y40" s="34"/>
      <c r="Z40" s="34"/>
      <c r="AA40" s="34"/>
      <c r="AB40" s="34"/>
      <c r="AC40" s="127"/>
      <c r="AD40" s="34"/>
      <c r="AE40" s="34"/>
      <c r="AF40" s="34"/>
      <c r="AG40" s="34"/>
      <c r="AH40" s="126"/>
      <c r="AI40" s="34"/>
      <c r="AJ40" s="34"/>
      <c r="AK40" s="34"/>
      <c r="AL40" s="34"/>
      <c r="AM40" s="127"/>
      <c r="AN40" s="34"/>
      <c r="AO40" s="34"/>
      <c r="AP40" s="34"/>
      <c r="AQ40" s="34"/>
      <c r="AR40" s="127"/>
      <c r="AS40" s="34"/>
      <c r="AT40" s="34"/>
      <c r="AU40" s="34"/>
      <c r="AV40" s="34"/>
      <c r="AW40" s="126"/>
      <c r="AX40" s="34"/>
      <c r="AY40" s="34"/>
      <c r="AZ40" s="34"/>
      <c r="BA40" s="34"/>
      <c r="BB40" s="127"/>
      <c r="BC40" s="34"/>
      <c r="BD40" s="34"/>
      <c r="BE40" s="34"/>
      <c r="BF40" s="34"/>
      <c r="BG40" s="127"/>
      <c r="BH40" s="34"/>
      <c r="BI40" s="34"/>
      <c r="BJ40" s="34"/>
      <c r="BK40" s="34"/>
      <c r="BL40" s="126"/>
      <c r="BM40" s="34"/>
      <c r="BN40" s="34"/>
      <c r="BO40" s="34"/>
      <c r="BP40" s="34"/>
      <c r="BQ40" s="127"/>
      <c r="BR40" s="34"/>
      <c r="BS40" s="34"/>
      <c r="BT40" s="34"/>
      <c r="BU40" s="34"/>
      <c r="BV40" s="127"/>
      <c r="BW40" s="34"/>
      <c r="BX40" s="34"/>
      <c r="BY40" s="34"/>
      <c r="BZ40" s="34"/>
      <c r="CA40" s="126"/>
      <c r="CB40" s="34"/>
      <c r="CC40" s="34"/>
      <c r="CD40" s="34"/>
      <c r="CE40" s="34"/>
      <c r="CF40" s="127"/>
      <c r="CG40" s="34"/>
      <c r="CH40" s="34"/>
      <c r="CI40" s="34"/>
      <c r="CJ40" s="34"/>
      <c r="CK40" s="127"/>
      <c r="CL40" s="34"/>
      <c r="CM40" s="34"/>
      <c r="CN40" s="34"/>
      <c r="CO40" s="34"/>
      <c r="CP40" s="126"/>
      <c r="CQ40" s="34"/>
      <c r="CR40" s="34"/>
      <c r="CS40" s="34"/>
      <c r="CT40" s="34"/>
      <c r="CU40" s="127"/>
      <c r="CV40" s="34"/>
      <c r="CW40" s="34"/>
      <c r="CX40" s="34"/>
      <c r="CY40" s="34"/>
      <c r="CZ40" s="127"/>
      <c r="DA40" s="34"/>
      <c r="DB40" s="35"/>
    </row>
    <row r="41" spans="1:106" ht="12.75">
      <c r="A41" s="1">
        <v>33</v>
      </c>
      <c r="B41" s="129"/>
      <c r="C41" s="34"/>
      <c r="D41" s="34"/>
      <c r="E41" s="34"/>
      <c r="F41" s="34"/>
      <c r="G41" s="126"/>
      <c r="H41" s="34"/>
      <c r="I41" s="34"/>
      <c r="J41" s="34"/>
      <c r="K41" s="34"/>
      <c r="L41" s="127"/>
      <c r="M41" s="34"/>
      <c r="N41" s="34"/>
      <c r="O41" s="34"/>
      <c r="P41" s="34"/>
      <c r="Q41" s="127"/>
      <c r="R41" s="34"/>
      <c r="S41" s="34"/>
      <c r="T41" s="34"/>
      <c r="U41" s="34"/>
      <c r="V41" s="126"/>
      <c r="W41" s="34"/>
      <c r="X41" s="34"/>
      <c r="Y41" s="34"/>
      <c r="Z41" s="34"/>
      <c r="AA41" s="127"/>
      <c r="AB41" s="34"/>
      <c r="AC41" s="34"/>
      <c r="AD41" s="34"/>
      <c r="AE41" s="34"/>
      <c r="AF41" s="127"/>
      <c r="AG41" s="34"/>
      <c r="AH41" s="34"/>
      <c r="AI41" s="34"/>
      <c r="AJ41" s="34"/>
      <c r="AK41" s="126"/>
      <c r="AL41" s="34"/>
      <c r="AM41" s="34"/>
      <c r="AN41" s="34"/>
      <c r="AO41" s="34"/>
      <c r="AP41" s="127"/>
      <c r="AQ41" s="34"/>
      <c r="AR41" s="34"/>
      <c r="AS41" s="34"/>
      <c r="AT41" s="34"/>
      <c r="AU41" s="127"/>
      <c r="AV41" s="34"/>
      <c r="AW41" s="34"/>
      <c r="AX41" s="34"/>
      <c r="AY41" s="34"/>
      <c r="AZ41" s="126"/>
      <c r="BA41" s="34"/>
      <c r="BB41" s="34"/>
      <c r="BC41" s="34"/>
      <c r="BD41" s="34"/>
      <c r="BE41" s="127"/>
      <c r="BF41" s="34"/>
      <c r="BG41" s="34"/>
      <c r="BH41" s="34"/>
      <c r="BI41" s="34"/>
      <c r="BJ41" s="127"/>
      <c r="BK41" s="34"/>
      <c r="BL41" s="34"/>
      <c r="BM41" s="34"/>
      <c r="BN41" s="34"/>
      <c r="BO41" s="126"/>
      <c r="BP41" s="34"/>
      <c r="BQ41" s="34"/>
      <c r="BR41" s="34"/>
      <c r="BS41" s="34"/>
      <c r="BT41" s="127"/>
      <c r="BU41" s="34"/>
      <c r="BV41" s="34"/>
      <c r="BW41" s="34"/>
      <c r="BX41" s="34"/>
      <c r="BY41" s="127"/>
      <c r="BZ41" s="34"/>
      <c r="CA41" s="34"/>
      <c r="CB41" s="34"/>
      <c r="CC41" s="34"/>
      <c r="CD41" s="126"/>
      <c r="CE41" s="34"/>
      <c r="CF41" s="34"/>
      <c r="CG41" s="34"/>
      <c r="CH41" s="34"/>
      <c r="CI41" s="127"/>
      <c r="CJ41" s="34"/>
      <c r="CK41" s="34"/>
      <c r="CL41" s="34"/>
      <c r="CM41" s="34"/>
      <c r="CN41" s="127"/>
      <c r="CO41" s="34"/>
      <c r="CP41" s="34"/>
      <c r="CQ41" s="34"/>
      <c r="CR41" s="34"/>
      <c r="CS41" s="126"/>
      <c r="CT41" s="34"/>
      <c r="CU41" s="34"/>
      <c r="CV41" s="34"/>
      <c r="CW41" s="34"/>
      <c r="CX41" s="127"/>
      <c r="CY41" s="34"/>
      <c r="CZ41" s="34"/>
      <c r="DA41" s="34"/>
      <c r="DB41" s="35"/>
    </row>
    <row r="42" spans="1:106" ht="12.75">
      <c r="A42" s="1">
        <v>34</v>
      </c>
      <c r="B42" s="124"/>
      <c r="C42" s="125"/>
      <c r="D42" s="126"/>
      <c r="E42" s="125"/>
      <c r="F42" s="125"/>
      <c r="G42" s="34"/>
      <c r="H42" s="125"/>
      <c r="I42" s="127"/>
      <c r="J42" s="125"/>
      <c r="K42" s="125"/>
      <c r="L42" s="125"/>
      <c r="M42" s="34"/>
      <c r="N42" s="127"/>
      <c r="O42" s="125"/>
      <c r="P42" s="125"/>
      <c r="Q42" s="125"/>
      <c r="R42" s="125"/>
      <c r="S42" s="126"/>
      <c r="T42" s="125"/>
      <c r="U42" s="125"/>
      <c r="V42" s="34"/>
      <c r="W42" s="125"/>
      <c r="X42" s="127"/>
      <c r="Y42" s="125"/>
      <c r="Z42" s="125"/>
      <c r="AA42" s="125"/>
      <c r="AB42" s="34"/>
      <c r="AC42" s="127"/>
      <c r="AD42" s="125"/>
      <c r="AE42" s="125"/>
      <c r="AF42" s="125"/>
      <c r="AG42" s="125"/>
      <c r="AH42" s="126"/>
      <c r="AI42" s="125"/>
      <c r="AJ42" s="125"/>
      <c r="AK42" s="34"/>
      <c r="AL42" s="125"/>
      <c r="AM42" s="127"/>
      <c r="AN42" s="125"/>
      <c r="AO42" s="125"/>
      <c r="AP42" s="125"/>
      <c r="AQ42" s="34"/>
      <c r="AR42" s="127"/>
      <c r="AS42" s="125"/>
      <c r="AT42" s="125"/>
      <c r="AU42" s="125"/>
      <c r="AV42" s="125"/>
      <c r="AW42" s="126"/>
      <c r="AX42" s="125"/>
      <c r="AY42" s="125"/>
      <c r="AZ42" s="34"/>
      <c r="BA42" s="125"/>
      <c r="BB42" s="127"/>
      <c r="BC42" s="125"/>
      <c r="BD42" s="125"/>
      <c r="BE42" s="125"/>
      <c r="BF42" s="34"/>
      <c r="BG42" s="127"/>
      <c r="BH42" s="125"/>
      <c r="BI42" s="125"/>
      <c r="BJ42" s="125"/>
      <c r="BK42" s="125"/>
      <c r="BL42" s="126"/>
      <c r="BM42" s="125"/>
      <c r="BN42" s="125"/>
      <c r="BO42" s="34"/>
      <c r="BP42" s="125"/>
      <c r="BQ42" s="127"/>
      <c r="BR42" s="125"/>
      <c r="BS42" s="125"/>
      <c r="BT42" s="125"/>
      <c r="BU42" s="34"/>
      <c r="BV42" s="127"/>
      <c r="BW42" s="125"/>
      <c r="BX42" s="125"/>
      <c r="BY42" s="125"/>
      <c r="BZ42" s="125"/>
      <c r="CA42" s="126"/>
      <c r="CB42" s="125"/>
      <c r="CC42" s="125"/>
      <c r="CD42" s="34"/>
      <c r="CE42" s="125"/>
      <c r="CF42" s="127"/>
      <c r="CG42" s="125"/>
      <c r="CH42" s="125"/>
      <c r="CI42" s="125"/>
      <c r="CJ42" s="34"/>
      <c r="CK42" s="127"/>
      <c r="CL42" s="125"/>
      <c r="CM42" s="125"/>
      <c r="CN42" s="125"/>
      <c r="CO42" s="125"/>
      <c r="CP42" s="126"/>
      <c r="CQ42" s="125"/>
      <c r="CR42" s="125"/>
      <c r="CS42" s="34"/>
      <c r="CT42" s="125"/>
      <c r="CU42" s="127"/>
      <c r="CV42" s="125"/>
      <c r="CW42" s="125"/>
      <c r="CX42" s="125"/>
      <c r="CY42" s="34"/>
      <c r="CZ42" s="127"/>
      <c r="DA42" s="125"/>
      <c r="DB42" s="128"/>
    </row>
    <row r="43" spans="1:106" ht="12.75">
      <c r="A43" s="1">
        <v>35</v>
      </c>
      <c r="B43" s="129"/>
      <c r="C43" s="34"/>
      <c r="D43" s="34"/>
      <c r="E43" s="34"/>
      <c r="F43" s="34"/>
      <c r="G43" s="126"/>
      <c r="H43" s="34"/>
      <c r="I43" s="125"/>
      <c r="J43" s="34"/>
      <c r="K43" s="34"/>
      <c r="L43" s="127"/>
      <c r="M43" s="34"/>
      <c r="N43" s="125"/>
      <c r="O43" s="34"/>
      <c r="P43" s="34"/>
      <c r="Q43" s="127"/>
      <c r="R43" s="34"/>
      <c r="S43" s="34"/>
      <c r="T43" s="34"/>
      <c r="U43" s="34"/>
      <c r="V43" s="126"/>
      <c r="W43" s="34"/>
      <c r="X43" s="125"/>
      <c r="Y43" s="34"/>
      <c r="Z43" s="34"/>
      <c r="AA43" s="127"/>
      <c r="AB43" s="34"/>
      <c r="AC43" s="125"/>
      <c r="AD43" s="34"/>
      <c r="AE43" s="34"/>
      <c r="AF43" s="127"/>
      <c r="AG43" s="34"/>
      <c r="AH43" s="34"/>
      <c r="AI43" s="34"/>
      <c r="AJ43" s="34"/>
      <c r="AK43" s="126"/>
      <c r="AL43" s="34"/>
      <c r="AM43" s="125"/>
      <c r="AN43" s="34"/>
      <c r="AO43" s="34"/>
      <c r="AP43" s="127"/>
      <c r="AQ43" s="34"/>
      <c r="AR43" s="125"/>
      <c r="AS43" s="34"/>
      <c r="AT43" s="34"/>
      <c r="AU43" s="127"/>
      <c r="AV43" s="34"/>
      <c r="AW43" s="34"/>
      <c r="AX43" s="34"/>
      <c r="AY43" s="34"/>
      <c r="AZ43" s="126"/>
      <c r="BA43" s="34"/>
      <c r="BB43" s="125"/>
      <c r="BC43" s="34"/>
      <c r="BD43" s="34"/>
      <c r="BE43" s="127"/>
      <c r="BF43" s="34"/>
      <c r="BG43" s="125"/>
      <c r="BH43" s="34"/>
      <c r="BI43" s="34"/>
      <c r="BJ43" s="127"/>
      <c r="BK43" s="34"/>
      <c r="BL43" s="34"/>
      <c r="BM43" s="34"/>
      <c r="BN43" s="34"/>
      <c r="BO43" s="126"/>
      <c r="BP43" s="34"/>
      <c r="BQ43" s="125"/>
      <c r="BR43" s="34"/>
      <c r="BS43" s="34"/>
      <c r="BT43" s="127"/>
      <c r="BU43" s="34"/>
      <c r="BV43" s="125"/>
      <c r="BW43" s="34"/>
      <c r="BX43" s="34"/>
      <c r="BY43" s="127"/>
      <c r="BZ43" s="34"/>
      <c r="CA43" s="34"/>
      <c r="CB43" s="34"/>
      <c r="CC43" s="34"/>
      <c r="CD43" s="126"/>
      <c r="CE43" s="34"/>
      <c r="CF43" s="125"/>
      <c r="CG43" s="34"/>
      <c r="CH43" s="34"/>
      <c r="CI43" s="127"/>
      <c r="CJ43" s="34"/>
      <c r="CK43" s="125"/>
      <c r="CL43" s="34"/>
      <c r="CM43" s="34"/>
      <c r="CN43" s="127"/>
      <c r="CO43" s="34"/>
      <c r="CP43" s="34"/>
      <c r="CQ43" s="34"/>
      <c r="CR43" s="34"/>
      <c r="CS43" s="126"/>
      <c r="CT43" s="34"/>
      <c r="CU43" s="125"/>
      <c r="CV43" s="34"/>
      <c r="CW43" s="34"/>
      <c r="CX43" s="127"/>
      <c r="CY43" s="34"/>
      <c r="CZ43" s="125"/>
      <c r="DA43" s="34"/>
      <c r="DB43" s="35"/>
    </row>
    <row r="44" spans="1:106" ht="12.75">
      <c r="A44" s="1">
        <v>36</v>
      </c>
      <c r="B44" s="130"/>
      <c r="C44" s="34"/>
      <c r="D44" s="126"/>
      <c r="E44" s="34"/>
      <c r="F44" s="34"/>
      <c r="G44" s="34"/>
      <c r="H44" s="34"/>
      <c r="I44" s="127"/>
      <c r="J44" s="34"/>
      <c r="K44" s="34"/>
      <c r="L44" s="34"/>
      <c r="M44" s="34"/>
      <c r="N44" s="127"/>
      <c r="O44" s="34"/>
      <c r="P44" s="34"/>
      <c r="Q44" s="34"/>
      <c r="R44" s="34"/>
      <c r="S44" s="126"/>
      <c r="T44" s="34"/>
      <c r="U44" s="34"/>
      <c r="V44" s="34"/>
      <c r="W44" s="34"/>
      <c r="X44" s="127"/>
      <c r="Y44" s="34"/>
      <c r="Z44" s="34"/>
      <c r="AA44" s="34"/>
      <c r="AB44" s="34"/>
      <c r="AC44" s="127"/>
      <c r="AD44" s="34"/>
      <c r="AE44" s="34"/>
      <c r="AF44" s="34"/>
      <c r="AG44" s="34"/>
      <c r="AH44" s="126"/>
      <c r="AI44" s="34"/>
      <c r="AJ44" s="34"/>
      <c r="AK44" s="34"/>
      <c r="AL44" s="34"/>
      <c r="AM44" s="127"/>
      <c r="AN44" s="34"/>
      <c r="AO44" s="34"/>
      <c r="AP44" s="34"/>
      <c r="AQ44" s="34"/>
      <c r="AR44" s="127"/>
      <c r="AS44" s="34"/>
      <c r="AT44" s="34"/>
      <c r="AU44" s="34"/>
      <c r="AV44" s="34"/>
      <c r="AW44" s="126"/>
      <c r="AX44" s="34"/>
      <c r="AY44" s="34"/>
      <c r="AZ44" s="34"/>
      <c r="BA44" s="34"/>
      <c r="BB44" s="127"/>
      <c r="BC44" s="34"/>
      <c r="BD44" s="34"/>
      <c r="BE44" s="34"/>
      <c r="BF44" s="34"/>
      <c r="BG44" s="127"/>
      <c r="BH44" s="34"/>
      <c r="BI44" s="34"/>
      <c r="BJ44" s="34"/>
      <c r="BK44" s="34"/>
      <c r="BL44" s="126"/>
      <c r="BM44" s="34"/>
      <c r="BN44" s="34"/>
      <c r="BO44" s="34"/>
      <c r="BP44" s="34"/>
      <c r="BQ44" s="127"/>
      <c r="BR44" s="34"/>
      <c r="BS44" s="34"/>
      <c r="BT44" s="34"/>
      <c r="BU44" s="34"/>
      <c r="BV44" s="127"/>
      <c r="BW44" s="34"/>
      <c r="BX44" s="34"/>
      <c r="BY44" s="34"/>
      <c r="BZ44" s="34"/>
      <c r="CA44" s="126"/>
      <c r="CB44" s="34"/>
      <c r="CC44" s="34"/>
      <c r="CD44" s="34"/>
      <c r="CE44" s="34"/>
      <c r="CF44" s="127"/>
      <c r="CG44" s="34"/>
      <c r="CH44" s="34"/>
      <c r="CI44" s="34"/>
      <c r="CJ44" s="34"/>
      <c r="CK44" s="127"/>
      <c r="CL44" s="34"/>
      <c r="CM44" s="34"/>
      <c r="CN44" s="34"/>
      <c r="CO44" s="34"/>
      <c r="CP44" s="126"/>
      <c r="CQ44" s="34"/>
      <c r="CR44" s="34"/>
      <c r="CS44" s="34"/>
      <c r="CT44" s="34"/>
      <c r="CU44" s="127"/>
      <c r="CV44" s="34"/>
      <c r="CW44" s="34"/>
      <c r="CX44" s="34"/>
      <c r="CY44" s="34"/>
      <c r="CZ44" s="127"/>
      <c r="DA44" s="34"/>
      <c r="DB44" s="35"/>
    </row>
    <row r="45" spans="1:106" ht="12.75">
      <c r="A45" s="1">
        <v>37</v>
      </c>
      <c r="B45" s="129"/>
      <c r="C45" s="34"/>
      <c r="D45" s="34"/>
      <c r="E45" s="34"/>
      <c r="F45" s="34"/>
      <c r="G45" s="126"/>
      <c r="H45" s="34"/>
      <c r="I45" s="34"/>
      <c r="J45" s="34"/>
      <c r="K45" s="34"/>
      <c r="L45" s="127"/>
      <c r="M45" s="34"/>
      <c r="N45" s="34"/>
      <c r="O45" s="34"/>
      <c r="P45" s="34"/>
      <c r="Q45" s="127"/>
      <c r="R45" s="34"/>
      <c r="S45" s="34"/>
      <c r="T45" s="34"/>
      <c r="U45" s="34"/>
      <c r="V45" s="126"/>
      <c r="W45" s="34"/>
      <c r="X45" s="34"/>
      <c r="Y45" s="34"/>
      <c r="Z45" s="34"/>
      <c r="AA45" s="127"/>
      <c r="AB45" s="34"/>
      <c r="AC45" s="34"/>
      <c r="AD45" s="34"/>
      <c r="AE45" s="34"/>
      <c r="AF45" s="127"/>
      <c r="AG45" s="34"/>
      <c r="AH45" s="34"/>
      <c r="AI45" s="34"/>
      <c r="AJ45" s="34"/>
      <c r="AK45" s="126"/>
      <c r="AL45" s="34"/>
      <c r="AM45" s="34"/>
      <c r="AN45" s="34"/>
      <c r="AO45" s="34"/>
      <c r="AP45" s="127"/>
      <c r="AQ45" s="34"/>
      <c r="AR45" s="34"/>
      <c r="AS45" s="34"/>
      <c r="AT45" s="34"/>
      <c r="AU45" s="127"/>
      <c r="AV45" s="34"/>
      <c r="AW45" s="34"/>
      <c r="AX45" s="34"/>
      <c r="AY45" s="34"/>
      <c r="AZ45" s="126"/>
      <c r="BA45" s="34"/>
      <c r="BB45" s="34"/>
      <c r="BC45" s="34"/>
      <c r="BD45" s="34"/>
      <c r="BE45" s="127"/>
      <c r="BF45" s="34"/>
      <c r="BG45" s="34"/>
      <c r="BH45" s="34"/>
      <c r="BI45" s="34"/>
      <c r="BJ45" s="127"/>
      <c r="BK45" s="34"/>
      <c r="BL45" s="34"/>
      <c r="BM45" s="34"/>
      <c r="BN45" s="34"/>
      <c r="BO45" s="126"/>
      <c r="BP45" s="34"/>
      <c r="BQ45" s="34"/>
      <c r="BR45" s="34"/>
      <c r="BS45" s="34"/>
      <c r="BT45" s="127"/>
      <c r="BU45" s="34"/>
      <c r="BV45" s="34"/>
      <c r="BW45" s="34"/>
      <c r="BX45" s="34"/>
      <c r="BY45" s="127"/>
      <c r="BZ45" s="34"/>
      <c r="CA45" s="34"/>
      <c r="CB45" s="34"/>
      <c r="CC45" s="34"/>
      <c r="CD45" s="126"/>
      <c r="CE45" s="34"/>
      <c r="CF45" s="34"/>
      <c r="CG45" s="34"/>
      <c r="CH45" s="34"/>
      <c r="CI45" s="127"/>
      <c r="CJ45" s="34"/>
      <c r="CK45" s="34"/>
      <c r="CL45" s="34"/>
      <c r="CM45" s="34"/>
      <c r="CN45" s="127"/>
      <c r="CO45" s="34"/>
      <c r="CP45" s="34"/>
      <c r="CQ45" s="34"/>
      <c r="CR45" s="34"/>
      <c r="CS45" s="126"/>
      <c r="CT45" s="34"/>
      <c r="CU45" s="34"/>
      <c r="CV45" s="34"/>
      <c r="CW45" s="34"/>
      <c r="CX45" s="127"/>
      <c r="CY45" s="34"/>
      <c r="CZ45" s="34"/>
      <c r="DA45" s="34"/>
      <c r="DB45" s="35"/>
    </row>
    <row r="46" spans="1:106" ht="12.75">
      <c r="A46" s="1">
        <v>38</v>
      </c>
      <c r="B46" s="130"/>
      <c r="C46" s="34"/>
      <c r="D46" s="126"/>
      <c r="E46" s="34"/>
      <c r="F46" s="34"/>
      <c r="G46" s="34"/>
      <c r="H46" s="34"/>
      <c r="I46" s="127"/>
      <c r="J46" s="34"/>
      <c r="K46" s="34"/>
      <c r="L46" s="34"/>
      <c r="M46" s="34"/>
      <c r="N46" s="127"/>
      <c r="O46" s="34"/>
      <c r="P46" s="34"/>
      <c r="Q46" s="34"/>
      <c r="R46" s="34"/>
      <c r="S46" s="126"/>
      <c r="T46" s="34"/>
      <c r="U46" s="34"/>
      <c r="V46" s="34"/>
      <c r="W46" s="34"/>
      <c r="X46" s="127"/>
      <c r="Y46" s="34"/>
      <c r="Z46" s="34"/>
      <c r="AA46" s="34"/>
      <c r="AB46" s="34"/>
      <c r="AC46" s="127"/>
      <c r="AD46" s="34"/>
      <c r="AE46" s="34"/>
      <c r="AF46" s="34"/>
      <c r="AG46" s="34"/>
      <c r="AH46" s="126"/>
      <c r="AI46" s="34"/>
      <c r="AJ46" s="34"/>
      <c r="AK46" s="34"/>
      <c r="AL46" s="34"/>
      <c r="AM46" s="127"/>
      <c r="AN46" s="34"/>
      <c r="AO46" s="34"/>
      <c r="AP46" s="34"/>
      <c r="AQ46" s="34"/>
      <c r="AR46" s="127"/>
      <c r="AS46" s="34"/>
      <c r="AT46" s="34"/>
      <c r="AU46" s="34"/>
      <c r="AV46" s="34"/>
      <c r="AW46" s="126"/>
      <c r="AX46" s="34"/>
      <c r="AY46" s="34"/>
      <c r="AZ46" s="34"/>
      <c r="BA46" s="34"/>
      <c r="BB46" s="127"/>
      <c r="BC46" s="34"/>
      <c r="BD46" s="34"/>
      <c r="BE46" s="34"/>
      <c r="BF46" s="34"/>
      <c r="BG46" s="127"/>
      <c r="BH46" s="34"/>
      <c r="BI46" s="34"/>
      <c r="BJ46" s="34"/>
      <c r="BK46" s="34"/>
      <c r="BL46" s="126"/>
      <c r="BM46" s="34"/>
      <c r="BN46" s="34"/>
      <c r="BO46" s="34"/>
      <c r="BP46" s="34"/>
      <c r="BQ46" s="127"/>
      <c r="BR46" s="34"/>
      <c r="BS46" s="34"/>
      <c r="BT46" s="34"/>
      <c r="BU46" s="34"/>
      <c r="BV46" s="127"/>
      <c r="BW46" s="34"/>
      <c r="BX46" s="34"/>
      <c r="BY46" s="34"/>
      <c r="BZ46" s="34"/>
      <c r="CA46" s="126"/>
      <c r="CB46" s="34"/>
      <c r="CC46" s="34"/>
      <c r="CD46" s="34"/>
      <c r="CE46" s="34"/>
      <c r="CF46" s="127"/>
      <c r="CG46" s="34"/>
      <c r="CH46" s="34"/>
      <c r="CI46" s="34"/>
      <c r="CJ46" s="34"/>
      <c r="CK46" s="127"/>
      <c r="CL46" s="34"/>
      <c r="CM46" s="34"/>
      <c r="CN46" s="34"/>
      <c r="CO46" s="34"/>
      <c r="CP46" s="126"/>
      <c r="CQ46" s="34"/>
      <c r="CR46" s="34"/>
      <c r="CS46" s="34"/>
      <c r="CT46" s="34"/>
      <c r="CU46" s="127"/>
      <c r="CV46" s="34"/>
      <c r="CW46" s="34"/>
      <c r="CX46" s="34"/>
      <c r="CY46" s="34"/>
      <c r="CZ46" s="127"/>
      <c r="DA46" s="34"/>
      <c r="DB46" s="35"/>
    </row>
    <row r="47" spans="1:106" ht="12.75">
      <c r="A47" s="1">
        <v>39</v>
      </c>
      <c r="B47" s="129"/>
      <c r="C47" s="34"/>
      <c r="D47" s="34"/>
      <c r="E47" s="34"/>
      <c r="F47" s="34"/>
      <c r="G47" s="126"/>
      <c r="H47" s="34"/>
      <c r="I47" s="34"/>
      <c r="J47" s="34"/>
      <c r="K47" s="34"/>
      <c r="L47" s="127"/>
      <c r="M47" s="34"/>
      <c r="N47" s="34"/>
      <c r="O47" s="34"/>
      <c r="P47" s="34"/>
      <c r="Q47" s="127"/>
      <c r="R47" s="34"/>
      <c r="S47" s="34"/>
      <c r="T47" s="34"/>
      <c r="U47" s="34"/>
      <c r="V47" s="126"/>
      <c r="W47" s="34"/>
      <c r="X47" s="34"/>
      <c r="Y47" s="34"/>
      <c r="Z47" s="34"/>
      <c r="AA47" s="127"/>
      <c r="AB47" s="34"/>
      <c r="AC47" s="34"/>
      <c r="AD47" s="34"/>
      <c r="AE47" s="34"/>
      <c r="AF47" s="127"/>
      <c r="AG47" s="34"/>
      <c r="AH47" s="34"/>
      <c r="AI47" s="34"/>
      <c r="AJ47" s="34"/>
      <c r="AK47" s="126"/>
      <c r="AL47" s="34"/>
      <c r="AM47" s="34"/>
      <c r="AN47" s="34"/>
      <c r="AO47" s="34"/>
      <c r="AP47" s="127"/>
      <c r="AQ47" s="34"/>
      <c r="AR47" s="34"/>
      <c r="AS47" s="34"/>
      <c r="AT47" s="34"/>
      <c r="AU47" s="127"/>
      <c r="AV47" s="34"/>
      <c r="AW47" s="34"/>
      <c r="AX47" s="34"/>
      <c r="AY47" s="34"/>
      <c r="AZ47" s="126"/>
      <c r="BA47" s="34"/>
      <c r="BB47" s="34"/>
      <c r="BC47" s="34"/>
      <c r="BD47" s="34"/>
      <c r="BE47" s="127"/>
      <c r="BF47" s="34"/>
      <c r="BG47" s="34"/>
      <c r="BH47" s="34"/>
      <c r="BI47" s="34"/>
      <c r="BJ47" s="127"/>
      <c r="BK47" s="34"/>
      <c r="BL47" s="34"/>
      <c r="BM47" s="34"/>
      <c r="BN47" s="34"/>
      <c r="BO47" s="126"/>
      <c r="BP47" s="34"/>
      <c r="BQ47" s="34"/>
      <c r="BR47" s="34"/>
      <c r="BS47" s="34"/>
      <c r="BT47" s="127"/>
      <c r="BU47" s="34"/>
      <c r="BV47" s="34"/>
      <c r="BW47" s="34"/>
      <c r="BX47" s="34"/>
      <c r="BY47" s="127"/>
      <c r="BZ47" s="34"/>
      <c r="CA47" s="34"/>
      <c r="CB47" s="34"/>
      <c r="CC47" s="34"/>
      <c r="CD47" s="126"/>
      <c r="CE47" s="34"/>
      <c r="CF47" s="34"/>
      <c r="CG47" s="34"/>
      <c r="CH47" s="34"/>
      <c r="CI47" s="127"/>
      <c r="CJ47" s="34"/>
      <c r="CK47" s="34"/>
      <c r="CL47" s="34"/>
      <c r="CM47" s="34"/>
      <c r="CN47" s="127"/>
      <c r="CO47" s="34"/>
      <c r="CP47" s="34"/>
      <c r="CQ47" s="34"/>
      <c r="CR47" s="34"/>
      <c r="CS47" s="126"/>
      <c r="CT47" s="34"/>
      <c r="CU47" s="34"/>
      <c r="CV47" s="34"/>
      <c r="CW47" s="34"/>
      <c r="CX47" s="127"/>
      <c r="CY47" s="34"/>
      <c r="CZ47" s="34"/>
      <c r="DA47" s="34"/>
      <c r="DB47" s="35"/>
    </row>
    <row r="48" spans="1:106" ht="12.75">
      <c r="A48" s="1">
        <v>40</v>
      </c>
      <c r="B48" s="130"/>
      <c r="C48" s="34"/>
      <c r="D48" s="126"/>
      <c r="E48" s="34"/>
      <c r="F48" s="34"/>
      <c r="G48" s="34"/>
      <c r="H48" s="34"/>
      <c r="I48" s="127"/>
      <c r="J48" s="34"/>
      <c r="K48" s="34"/>
      <c r="L48" s="34"/>
      <c r="M48" s="34"/>
      <c r="N48" s="127"/>
      <c r="O48" s="34"/>
      <c r="P48" s="34"/>
      <c r="Q48" s="34"/>
      <c r="R48" s="34"/>
      <c r="S48" s="126"/>
      <c r="T48" s="34"/>
      <c r="U48" s="34"/>
      <c r="V48" s="34"/>
      <c r="W48" s="34"/>
      <c r="X48" s="127"/>
      <c r="Y48" s="34"/>
      <c r="Z48" s="34"/>
      <c r="AA48" s="34"/>
      <c r="AB48" s="34"/>
      <c r="AC48" s="127"/>
      <c r="AD48" s="34"/>
      <c r="AE48" s="34"/>
      <c r="AF48" s="34"/>
      <c r="AG48" s="34"/>
      <c r="AH48" s="126"/>
      <c r="AI48" s="34"/>
      <c r="AJ48" s="34"/>
      <c r="AK48" s="34"/>
      <c r="AL48" s="34"/>
      <c r="AM48" s="127"/>
      <c r="AN48" s="34"/>
      <c r="AO48" s="34"/>
      <c r="AP48" s="34"/>
      <c r="AQ48" s="34"/>
      <c r="AR48" s="127"/>
      <c r="AS48" s="34"/>
      <c r="AT48" s="34"/>
      <c r="AU48" s="34"/>
      <c r="AV48" s="34"/>
      <c r="AW48" s="126"/>
      <c r="AX48" s="34"/>
      <c r="AY48" s="34"/>
      <c r="AZ48" s="34"/>
      <c r="BA48" s="34"/>
      <c r="BB48" s="127"/>
      <c r="BC48" s="34"/>
      <c r="BD48" s="34"/>
      <c r="BE48" s="34"/>
      <c r="BF48" s="34"/>
      <c r="BG48" s="127"/>
      <c r="BH48" s="34"/>
      <c r="BI48" s="34"/>
      <c r="BJ48" s="34"/>
      <c r="BK48" s="34"/>
      <c r="BL48" s="126"/>
      <c r="BM48" s="34"/>
      <c r="BN48" s="34"/>
      <c r="BO48" s="34"/>
      <c r="BP48" s="34"/>
      <c r="BQ48" s="127"/>
      <c r="BR48" s="34"/>
      <c r="BS48" s="34"/>
      <c r="BT48" s="34"/>
      <c r="BU48" s="34"/>
      <c r="BV48" s="127"/>
      <c r="BW48" s="34"/>
      <c r="BX48" s="34"/>
      <c r="BY48" s="34"/>
      <c r="BZ48" s="34"/>
      <c r="CA48" s="126"/>
      <c r="CB48" s="34"/>
      <c r="CC48" s="34"/>
      <c r="CD48" s="34"/>
      <c r="CE48" s="34"/>
      <c r="CF48" s="127"/>
      <c r="CG48" s="34"/>
      <c r="CH48" s="34"/>
      <c r="CI48" s="34"/>
      <c r="CJ48" s="34"/>
      <c r="CK48" s="127"/>
      <c r="CL48" s="34"/>
      <c r="CM48" s="34"/>
      <c r="CN48" s="34"/>
      <c r="CO48" s="34"/>
      <c r="CP48" s="126"/>
      <c r="CQ48" s="34"/>
      <c r="CR48" s="34"/>
      <c r="CS48" s="34"/>
      <c r="CT48" s="34"/>
      <c r="CU48" s="127"/>
      <c r="CV48" s="34"/>
      <c r="CW48" s="34"/>
      <c r="CX48" s="34"/>
      <c r="CY48" s="34"/>
      <c r="CZ48" s="127"/>
      <c r="DA48" s="34"/>
      <c r="DB48" s="35"/>
    </row>
    <row r="49" spans="1:106" ht="12.75">
      <c r="A49" s="1">
        <v>41</v>
      </c>
      <c r="B49" s="129"/>
      <c r="C49" s="34"/>
      <c r="D49" s="34"/>
      <c r="E49" s="34"/>
      <c r="F49" s="34"/>
      <c r="G49" s="126"/>
      <c r="H49" s="34"/>
      <c r="I49" s="34"/>
      <c r="J49" s="34"/>
      <c r="K49" s="34"/>
      <c r="L49" s="127"/>
      <c r="M49" s="34"/>
      <c r="N49" s="34"/>
      <c r="O49" s="34"/>
      <c r="P49" s="34"/>
      <c r="Q49" s="127"/>
      <c r="R49" s="34"/>
      <c r="S49" s="34"/>
      <c r="T49" s="34"/>
      <c r="U49" s="34"/>
      <c r="V49" s="126"/>
      <c r="W49" s="34"/>
      <c r="X49" s="34"/>
      <c r="Y49" s="34"/>
      <c r="Z49" s="34"/>
      <c r="AA49" s="127"/>
      <c r="AB49" s="34"/>
      <c r="AC49" s="34"/>
      <c r="AD49" s="34"/>
      <c r="AE49" s="34"/>
      <c r="AF49" s="127"/>
      <c r="AG49" s="34"/>
      <c r="AH49" s="34"/>
      <c r="AI49" s="34"/>
      <c r="AJ49" s="34"/>
      <c r="AK49" s="126"/>
      <c r="AL49" s="34"/>
      <c r="AM49" s="34"/>
      <c r="AN49" s="34"/>
      <c r="AO49" s="34"/>
      <c r="AP49" s="127"/>
      <c r="AQ49" s="34"/>
      <c r="AR49" s="34"/>
      <c r="AS49" s="34"/>
      <c r="AT49" s="34"/>
      <c r="AU49" s="127"/>
      <c r="AV49" s="34"/>
      <c r="AW49" s="34"/>
      <c r="AX49" s="34"/>
      <c r="AY49" s="34"/>
      <c r="AZ49" s="126"/>
      <c r="BA49" s="34"/>
      <c r="BB49" s="34"/>
      <c r="BC49" s="34"/>
      <c r="BD49" s="34"/>
      <c r="BE49" s="127"/>
      <c r="BF49" s="34"/>
      <c r="BG49" s="34"/>
      <c r="BH49" s="34"/>
      <c r="BI49" s="34"/>
      <c r="BJ49" s="127"/>
      <c r="BK49" s="34"/>
      <c r="BL49" s="34"/>
      <c r="BM49" s="34"/>
      <c r="BN49" s="34"/>
      <c r="BO49" s="126"/>
      <c r="BP49" s="34"/>
      <c r="BQ49" s="34"/>
      <c r="BR49" s="34"/>
      <c r="BS49" s="34"/>
      <c r="BT49" s="127"/>
      <c r="BU49" s="34"/>
      <c r="BV49" s="34"/>
      <c r="BW49" s="34"/>
      <c r="BX49" s="34"/>
      <c r="BY49" s="127"/>
      <c r="BZ49" s="34"/>
      <c r="CA49" s="34"/>
      <c r="CB49" s="34"/>
      <c r="CC49" s="34"/>
      <c r="CD49" s="126"/>
      <c r="CE49" s="34"/>
      <c r="CF49" s="34"/>
      <c r="CG49" s="34"/>
      <c r="CH49" s="34"/>
      <c r="CI49" s="127"/>
      <c r="CJ49" s="34"/>
      <c r="CK49" s="34"/>
      <c r="CL49" s="34"/>
      <c r="CM49" s="34"/>
      <c r="CN49" s="127"/>
      <c r="CO49" s="34"/>
      <c r="CP49" s="34"/>
      <c r="CQ49" s="34"/>
      <c r="CR49" s="34"/>
      <c r="CS49" s="126"/>
      <c r="CT49" s="34"/>
      <c r="CU49" s="34"/>
      <c r="CV49" s="34"/>
      <c r="CW49" s="34"/>
      <c r="CX49" s="127"/>
      <c r="CY49" s="34"/>
      <c r="CZ49" s="34"/>
      <c r="DA49" s="34"/>
      <c r="DB49" s="35"/>
    </row>
    <row r="50" spans="1:106" ht="12.75">
      <c r="A50" s="1">
        <v>42</v>
      </c>
      <c r="B50" s="124"/>
      <c r="C50" s="125"/>
      <c r="D50" s="126"/>
      <c r="E50" s="125"/>
      <c r="F50" s="125"/>
      <c r="G50" s="34"/>
      <c r="H50" s="125"/>
      <c r="I50" s="127"/>
      <c r="J50" s="125"/>
      <c r="K50" s="125"/>
      <c r="L50" s="125"/>
      <c r="M50" s="34"/>
      <c r="N50" s="127"/>
      <c r="O50" s="125"/>
      <c r="P50" s="125"/>
      <c r="Q50" s="125"/>
      <c r="R50" s="125"/>
      <c r="S50" s="126"/>
      <c r="T50" s="125"/>
      <c r="U50" s="125"/>
      <c r="V50" s="34"/>
      <c r="W50" s="125"/>
      <c r="X50" s="127"/>
      <c r="Y50" s="125"/>
      <c r="Z50" s="125"/>
      <c r="AA50" s="125"/>
      <c r="AB50" s="34"/>
      <c r="AC50" s="127"/>
      <c r="AD50" s="125"/>
      <c r="AE50" s="125"/>
      <c r="AF50" s="125"/>
      <c r="AG50" s="125"/>
      <c r="AH50" s="126"/>
      <c r="AI50" s="125"/>
      <c r="AJ50" s="125"/>
      <c r="AK50" s="34"/>
      <c r="AL50" s="125"/>
      <c r="AM50" s="127"/>
      <c r="AN50" s="125"/>
      <c r="AO50" s="125"/>
      <c r="AP50" s="125"/>
      <c r="AQ50" s="34"/>
      <c r="AR50" s="127"/>
      <c r="AS50" s="125"/>
      <c r="AT50" s="125"/>
      <c r="AU50" s="125"/>
      <c r="AV50" s="125"/>
      <c r="AW50" s="126"/>
      <c r="AX50" s="125"/>
      <c r="AY50" s="125"/>
      <c r="AZ50" s="34"/>
      <c r="BA50" s="125"/>
      <c r="BB50" s="127"/>
      <c r="BC50" s="125"/>
      <c r="BD50" s="125"/>
      <c r="BE50" s="125"/>
      <c r="BF50" s="34"/>
      <c r="BG50" s="127"/>
      <c r="BH50" s="125"/>
      <c r="BI50" s="125"/>
      <c r="BJ50" s="125"/>
      <c r="BK50" s="125"/>
      <c r="BL50" s="126"/>
      <c r="BM50" s="125"/>
      <c r="BN50" s="125"/>
      <c r="BO50" s="34"/>
      <c r="BP50" s="125"/>
      <c r="BQ50" s="127"/>
      <c r="BR50" s="125"/>
      <c r="BS50" s="125"/>
      <c r="BT50" s="125"/>
      <c r="BU50" s="34"/>
      <c r="BV50" s="127"/>
      <c r="BW50" s="125"/>
      <c r="BX50" s="125"/>
      <c r="BY50" s="125"/>
      <c r="BZ50" s="125"/>
      <c r="CA50" s="126"/>
      <c r="CB50" s="125"/>
      <c r="CC50" s="125"/>
      <c r="CD50" s="34"/>
      <c r="CE50" s="125"/>
      <c r="CF50" s="127"/>
      <c r="CG50" s="125"/>
      <c r="CH50" s="125"/>
      <c r="CI50" s="125"/>
      <c r="CJ50" s="34"/>
      <c r="CK50" s="127"/>
      <c r="CL50" s="125"/>
      <c r="CM50" s="125"/>
      <c r="CN50" s="125"/>
      <c r="CO50" s="125"/>
      <c r="CP50" s="126"/>
      <c r="CQ50" s="125"/>
      <c r="CR50" s="125"/>
      <c r="CS50" s="34"/>
      <c r="CT50" s="125"/>
      <c r="CU50" s="127"/>
      <c r="CV50" s="125"/>
      <c r="CW50" s="125"/>
      <c r="CX50" s="125"/>
      <c r="CY50" s="34"/>
      <c r="CZ50" s="127"/>
      <c r="DA50" s="125"/>
      <c r="DB50" s="128"/>
    </row>
    <row r="51" spans="1:106" ht="12.75">
      <c r="A51" s="1">
        <v>43</v>
      </c>
      <c r="B51" s="129"/>
      <c r="C51" s="34"/>
      <c r="D51" s="34"/>
      <c r="E51" s="34"/>
      <c r="F51" s="34"/>
      <c r="G51" s="126"/>
      <c r="H51" s="34"/>
      <c r="I51" s="125"/>
      <c r="J51" s="34"/>
      <c r="K51" s="34"/>
      <c r="L51" s="127"/>
      <c r="M51" s="34"/>
      <c r="N51" s="125"/>
      <c r="O51" s="34"/>
      <c r="P51" s="34"/>
      <c r="Q51" s="127"/>
      <c r="R51" s="34"/>
      <c r="S51" s="34"/>
      <c r="T51" s="34"/>
      <c r="U51" s="34"/>
      <c r="V51" s="126"/>
      <c r="W51" s="34"/>
      <c r="X51" s="125"/>
      <c r="Y51" s="34"/>
      <c r="Z51" s="34"/>
      <c r="AA51" s="127"/>
      <c r="AB51" s="34"/>
      <c r="AC51" s="125"/>
      <c r="AD51" s="34"/>
      <c r="AE51" s="34"/>
      <c r="AF51" s="127"/>
      <c r="AG51" s="34"/>
      <c r="AH51" s="34"/>
      <c r="AI51" s="34"/>
      <c r="AJ51" s="34"/>
      <c r="AK51" s="126"/>
      <c r="AL51" s="34"/>
      <c r="AM51" s="125"/>
      <c r="AN51" s="34"/>
      <c r="AO51" s="34"/>
      <c r="AP51" s="127"/>
      <c r="AQ51" s="34"/>
      <c r="AR51" s="125"/>
      <c r="AS51" s="34"/>
      <c r="AT51" s="34"/>
      <c r="AU51" s="127"/>
      <c r="AV51" s="34"/>
      <c r="AW51" s="34"/>
      <c r="AX51" s="34"/>
      <c r="AY51" s="34"/>
      <c r="AZ51" s="126"/>
      <c r="BA51" s="34"/>
      <c r="BB51" s="125"/>
      <c r="BC51" s="34"/>
      <c r="BD51" s="34"/>
      <c r="BE51" s="127"/>
      <c r="BF51" s="34"/>
      <c r="BG51" s="125"/>
      <c r="BH51" s="34"/>
      <c r="BI51" s="34"/>
      <c r="BJ51" s="127"/>
      <c r="BK51" s="34"/>
      <c r="BL51" s="34"/>
      <c r="BM51" s="34"/>
      <c r="BN51" s="34"/>
      <c r="BO51" s="126"/>
      <c r="BP51" s="34"/>
      <c r="BQ51" s="125"/>
      <c r="BR51" s="34"/>
      <c r="BS51" s="34"/>
      <c r="BT51" s="127"/>
      <c r="BU51" s="34"/>
      <c r="BV51" s="125"/>
      <c r="BW51" s="34"/>
      <c r="BX51" s="34"/>
      <c r="BY51" s="127"/>
      <c r="BZ51" s="34"/>
      <c r="CA51" s="34"/>
      <c r="CB51" s="34"/>
      <c r="CC51" s="34"/>
      <c r="CD51" s="126"/>
      <c r="CE51" s="34"/>
      <c r="CF51" s="125"/>
      <c r="CG51" s="34"/>
      <c r="CH51" s="34"/>
      <c r="CI51" s="127"/>
      <c r="CJ51" s="34"/>
      <c r="CK51" s="125"/>
      <c r="CL51" s="34"/>
      <c r="CM51" s="34"/>
      <c r="CN51" s="127"/>
      <c r="CO51" s="34"/>
      <c r="CP51" s="34"/>
      <c r="CQ51" s="34"/>
      <c r="CR51" s="34"/>
      <c r="CS51" s="126"/>
      <c r="CT51" s="34"/>
      <c r="CU51" s="125"/>
      <c r="CV51" s="34"/>
      <c r="CW51" s="34"/>
      <c r="CX51" s="127"/>
      <c r="CY51" s="34"/>
      <c r="CZ51" s="125"/>
      <c r="DA51" s="34"/>
      <c r="DB51" s="35"/>
    </row>
    <row r="52" spans="1:106" ht="12.75">
      <c r="A52" s="1">
        <v>44</v>
      </c>
      <c r="B52" s="130"/>
      <c r="C52" s="34"/>
      <c r="D52" s="126"/>
      <c r="E52" s="34"/>
      <c r="F52" s="34"/>
      <c r="G52" s="34"/>
      <c r="H52" s="34"/>
      <c r="I52" s="127"/>
      <c r="J52" s="34"/>
      <c r="K52" s="34"/>
      <c r="L52" s="34"/>
      <c r="M52" s="34"/>
      <c r="N52" s="127"/>
      <c r="O52" s="34"/>
      <c r="P52" s="34"/>
      <c r="Q52" s="34"/>
      <c r="R52" s="34"/>
      <c r="S52" s="126"/>
      <c r="T52" s="34"/>
      <c r="U52" s="34"/>
      <c r="V52" s="34"/>
      <c r="W52" s="34"/>
      <c r="X52" s="127"/>
      <c r="Y52" s="34"/>
      <c r="Z52" s="34"/>
      <c r="AA52" s="34"/>
      <c r="AB52" s="34"/>
      <c r="AC52" s="127"/>
      <c r="AD52" s="34"/>
      <c r="AE52" s="34"/>
      <c r="AF52" s="34"/>
      <c r="AG52" s="34"/>
      <c r="AH52" s="126"/>
      <c r="AI52" s="34"/>
      <c r="AJ52" s="34"/>
      <c r="AK52" s="34"/>
      <c r="AL52" s="34"/>
      <c r="AM52" s="127"/>
      <c r="AN52" s="34"/>
      <c r="AO52" s="34"/>
      <c r="AP52" s="34"/>
      <c r="AQ52" s="34"/>
      <c r="AR52" s="127"/>
      <c r="AS52" s="34"/>
      <c r="AT52" s="34"/>
      <c r="AU52" s="34"/>
      <c r="AV52" s="34"/>
      <c r="AW52" s="126"/>
      <c r="AX52" s="34"/>
      <c r="AY52" s="34"/>
      <c r="AZ52" s="34"/>
      <c r="BA52" s="34"/>
      <c r="BB52" s="127"/>
      <c r="BC52" s="34"/>
      <c r="BD52" s="34"/>
      <c r="BE52" s="34"/>
      <c r="BF52" s="34"/>
      <c r="BG52" s="127"/>
      <c r="BH52" s="34"/>
      <c r="BI52" s="34"/>
      <c r="BJ52" s="34"/>
      <c r="BK52" s="34"/>
      <c r="BL52" s="126"/>
      <c r="BM52" s="34"/>
      <c r="BN52" s="34"/>
      <c r="BO52" s="34"/>
      <c r="BP52" s="34"/>
      <c r="BQ52" s="127"/>
      <c r="BR52" s="34"/>
      <c r="BS52" s="34"/>
      <c r="BT52" s="34"/>
      <c r="BU52" s="34"/>
      <c r="BV52" s="127"/>
      <c r="BW52" s="34"/>
      <c r="BX52" s="34"/>
      <c r="BY52" s="34"/>
      <c r="BZ52" s="34"/>
      <c r="CA52" s="126"/>
      <c r="CB52" s="34"/>
      <c r="CC52" s="34"/>
      <c r="CD52" s="34"/>
      <c r="CE52" s="34"/>
      <c r="CF52" s="127"/>
      <c r="CG52" s="34"/>
      <c r="CH52" s="34"/>
      <c r="CI52" s="34"/>
      <c r="CJ52" s="34"/>
      <c r="CK52" s="127"/>
      <c r="CL52" s="34"/>
      <c r="CM52" s="34"/>
      <c r="CN52" s="34"/>
      <c r="CO52" s="34"/>
      <c r="CP52" s="126"/>
      <c r="CQ52" s="34"/>
      <c r="CR52" s="34"/>
      <c r="CS52" s="34"/>
      <c r="CT52" s="34"/>
      <c r="CU52" s="127"/>
      <c r="CV52" s="34"/>
      <c r="CW52" s="34"/>
      <c r="CX52" s="34"/>
      <c r="CY52" s="34"/>
      <c r="CZ52" s="127"/>
      <c r="DA52" s="34"/>
      <c r="DB52" s="35"/>
    </row>
    <row r="53" spans="1:106" ht="12.75">
      <c r="A53" s="1">
        <v>45</v>
      </c>
      <c r="B53" s="129"/>
      <c r="C53" s="34"/>
      <c r="D53" s="34"/>
      <c r="E53" s="34"/>
      <c r="F53" s="34"/>
      <c r="G53" s="126"/>
      <c r="H53" s="34"/>
      <c r="I53" s="34"/>
      <c r="J53" s="34"/>
      <c r="K53" s="34"/>
      <c r="L53" s="127"/>
      <c r="M53" s="34"/>
      <c r="N53" s="34"/>
      <c r="O53" s="34"/>
      <c r="P53" s="34"/>
      <c r="Q53" s="127"/>
      <c r="R53" s="34"/>
      <c r="S53" s="34"/>
      <c r="T53" s="34"/>
      <c r="U53" s="34"/>
      <c r="V53" s="126"/>
      <c r="W53" s="34"/>
      <c r="X53" s="34"/>
      <c r="Y53" s="34"/>
      <c r="Z53" s="34"/>
      <c r="AA53" s="127"/>
      <c r="AB53" s="34"/>
      <c r="AC53" s="34"/>
      <c r="AD53" s="34"/>
      <c r="AE53" s="34"/>
      <c r="AF53" s="127"/>
      <c r="AG53" s="34"/>
      <c r="AH53" s="34"/>
      <c r="AI53" s="34"/>
      <c r="AJ53" s="34"/>
      <c r="AK53" s="126"/>
      <c r="AL53" s="34"/>
      <c r="AM53" s="34"/>
      <c r="AN53" s="34"/>
      <c r="AO53" s="34"/>
      <c r="AP53" s="127"/>
      <c r="AQ53" s="34"/>
      <c r="AR53" s="34"/>
      <c r="AS53" s="34"/>
      <c r="AT53" s="34"/>
      <c r="AU53" s="127"/>
      <c r="AV53" s="34"/>
      <c r="AW53" s="34"/>
      <c r="AX53" s="34"/>
      <c r="AY53" s="34"/>
      <c r="AZ53" s="126"/>
      <c r="BA53" s="34"/>
      <c r="BB53" s="34"/>
      <c r="BC53" s="34"/>
      <c r="BD53" s="34"/>
      <c r="BE53" s="127"/>
      <c r="BF53" s="34"/>
      <c r="BG53" s="34"/>
      <c r="BH53" s="34"/>
      <c r="BI53" s="34"/>
      <c r="BJ53" s="127"/>
      <c r="BK53" s="34"/>
      <c r="BL53" s="34"/>
      <c r="BM53" s="34"/>
      <c r="BN53" s="34"/>
      <c r="BO53" s="126"/>
      <c r="BP53" s="34"/>
      <c r="BQ53" s="34"/>
      <c r="BR53" s="34"/>
      <c r="BS53" s="34"/>
      <c r="BT53" s="127"/>
      <c r="BU53" s="34"/>
      <c r="BV53" s="34"/>
      <c r="BW53" s="34"/>
      <c r="BX53" s="34"/>
      <c r="BY53" s="127"/>
      <c r="BZ53" s="34"/>
      <c r="CA53" s="34"/>
      <c r="CB53" s="34"/>
      <c r="CC53" s="34"/>
      <c r="CD53" s="126"/>
      <c r="CE53" s="34"/>
      <c r="CF53" s="34"/>
      <c r="CG53" s="34"/>
      <c r="CH53" s="34"/>
      <c r="CI53" s="127"/>
      <c r="CJ53" s="34"/>
      <c r="CK53" s="34"/>
      <c r="CL53" s="34"/>
      <c r="CM53" s="34"/>
      <c r="CN53" s="127"/>
      <c r="CO53" s="34"/>
      <c r="CP53" s="34"/>
      <c r="CQ53" s="34"/>
      <c r="CR53" s="34"/>
      <c r="CS53" s="126"/>
      <c r="CT53" s="34"/>
      <c r="CU53" s="34"/>
      <c r="CV53" s="34"/>
      <c r="CW53" s="34"/>
      <c r="CX53" s="127"/>
      <c r="CY53" s="34"/>
      <c r="CZ53" s="34"/>
      <c r="DA53" s="34"/>
      <c r="DB53" s="35"/>
    </row>
    <row r="54" spans="1:106" ht="12.75">
      <c r="A54" s="1">
        <v>46</v>
      </c>
      <c r="B54" s="130"/>
      <c r="C54" s="34"/>
      <c r="D54" s="126"/>
      <c r="E54" s="34"/>
      <c r="F54" s="34"/>
      <c r="G54" s="34"/>
      <c r="H54" s="34"/>
      <c r="I54" s="127"/>
      <c r="J54" s="34"/>
      <c r="K54" s="34"/>
      <c r="L54" s="34"/>
      <c r="M54" s="34"/>
      <c r="N54" s="127"/>
      <c r="O54" s="34"/>
      <c r="P54" s="34"/>
      <c r="Q54" s="34"/>
      <c r="R54" s="34"/>
      <c r="S54" s="126"/>
      <c r="T54" s="34"/>
      <c r="U54" s="34"/>
      <c r="V54" s="34"/>
      <c r="W54" s="34"/>
      <c r="X54" s="127"/>
      <c r="Y54" s="34"/>
      <c r="Z54" s="34"/>
      <c r="AA54" s="34"/>
      <c r="AB54" s="34"/>
      <c r="AC54" s="127"/>
      <c r="AD54" s="34"/>
      <c r="AE54" s="34"/>
      <c r="AF54" s="34"/>
      <c r="AG54" s="34"/>
      <c r="AH54" s="126"/>
      <c r="AI54" s="34"/>
      <c r="AJ54" s="34"/>
      <c r="AK54" s="34"/>
      <c r="AL54" s="34"/>
      <c r="AM54" s="127"/>
      <c r="AN54" s="34"/>
      <c r="AO54" s="34"/>
      <c r="AP54" s="34"/>
      <c r="AQ54" s="34"/>
      <c r="AR54" s="127"/>
      <c r="AS54" s="34"/>
      <c r="AT54" s="34"/>
      <c r="AU54" s="34"/>
      <c r="AV54" s="34"/>
      <c r="AW54" s="126"/>
      <c r="AX54" s="34"/>
      <c r="AY54" s="34"/>
      <c r="AZ54" s="34"/>
      <c r="BA54" s="34"/>
      <c r="BB54" s="127"/>
      <c r="BC54" s="34"/>
      <c r="BD54" s="34"/>
      <c r="BE54" s="34"/>
      <c r="BF54" s="34"/>
      <c r="BG54" s="127"/>
      <c r="BH54" s="34"/>
      <c r="BI54" s="34"/>
      <c r="BJ54" s="34"/>
      <c r="BK54" s="34"/>
      <c r="BL54" s="126"/>
      <c r="BM54" s="34"/>
      <c r="BN54" s="34"/>
      <c r="BO54" s="34"/>
      <c r="BP54" s="34"/>
      <c r="BQ54" s="127"/>
      <c r="BR54" s="34"/>
      <c r="BS54" s="34"/>
      <c r="BT54" s="34"/>
      <c r="BU54" s="34"/>
      <c r="BV54" s="127"/>
      <c r="BW54" s="34"/>
      <c r="BX54" s="34"/>
      <c r="BY54" s="34"/>
      <c r="BZ54" s="34"/>
      <c r="CA54" s="126"/>
      <c r="CB54" s="34"/>
      <c r="CC54" s="34"/>
      <c r="CD54" s="34"/>
      <c r="CE54" s="34"/>
      <c r="CF54" s="127"/>
      <c r="CG54" s="34"/>
      <c r="CH54" s="34"/>
      <c r="CI54" s="34"/>
      <c r="CJ54" s="34"/>
      <c r="CK54" s="127"/>
      <c r="CL54" s="34"/>
      <c r="CM54" s="34"/>
      <c r="CN54" s="34"/>
      <c r="CO54" s="34"/>
      <c r="CP54" s="126"/>
      <c r="CQ54" s="34"/>
      <c r="CR54" s="34"/>
      <c r="CS54" s="34"/>
      <c r="CT54" s="34"/>
      <c r="CU54" s="127"/>
      <c r="CV54" s="34"/>
      <c r="CW54" s="34"/>
      <c r="CX54" s="34"/>
      <c r="CY54" s="34"/>
      <c r="CZ54" s="127"/>
      <c r="DA54" s="34"/>
      <c r="DB54" s="35"/>
    </row>
    <row r="55" spans="1:106" ht="12.75">
      <c r="A55" s="1">
        <v>47</v>
      </c>
      <c r="B55" s="129"/>
      <c r="C55" s="34"/>
      <c r="D55" s="34"/>
      <c r="E55" s="34"/>
      <c r="F55" s="34"/>
      <c r="G55" s="126"/>
      <c r="H55" s="34"/>
      <c r="I55" s="34"/>
      <c r="J55" s="34"/>
      <c r="K55" s="34"/>
      <c r="L55" s="127"/>
      <c r="M55" s="34"/>
      <c r="N55" s="34"/>
      <c r="O55" s="34"/>
      <c r="P55" s="34"/>
      <c r="Q55" s="127"/>
      <c r="R55" s="34"/>
      <c r="S55" s="34"/>
      <c r="T55" s="34"/>
      <c r="U55" s="34"/>
      <c r="V55" s="126"/>
      <c r="W55" s="34"/>
      <c r="X55" s="34"/>
      <c r="Y55" s="34"/>
      <c r="Z55" s="34"/>
      <c r="AA55" s="127"/>
      <c r="AB55" s="34"/>
      <c r="AC55" s="34"/>
      <c r="AD55" s="34"/>
      <c r="AE55" s="34"/>
      <c r="AF55" s="127"/>
      <c r="AG55" s="34"/>
      <c r="AH55" s="34"/>
      <c r="AI55" s="34"/>
      <c r="AJ55" s="34"/>
      <c r="AK55" s="126"/>
      <c r="AL55" s="34"/>
      <c r="AM55" s="34"/>
      <c r="AN55" s="34"/>
      <c r="AO55" s="34"/>
      <c r="AP55" s="127"/>
      <c r="AQ55" s="34"/>
      <c r="AR55" s="34"/>
      <c r="AS55" s="34"/>
      <c r="AT55" s="34"/>
      <c r="AU55" s="127"/>
      <c r="AV55" s="34"/>
      <c r="AW55" s="34"/>
      <c r="AX55" s="34"/>
      <c r="AY55" s="34"/>
      <c r="AZ55" s="126"/>
      <c r="BA55" s="34"/>
      <c r="BB55" s="34"/>
      <c r="BC55" s="34"/>
      <c r="BD55" s="34"/>
      <c r="BE55" s="127"/>
      <c r="BF55" s="34"/>
      <c r="BG55" s="34"/>
      <c r="BH55" s="34"/>
      <c r="BI55" s="34"/>
      <c r="BJ55" s="127"/>
      <c r="BK55" s="34"/>
      <c r="BL55" s="34"/>
      <c r="BM55" s="34"/>
      <c r="BN55" s="34"/>
      <c r="BO55" s="126"/>
      <c r="BP55" s="34"/>
      <c r="BQ55" s="34"/>
      <c r="BR55" s="34"/>
      <c r="BS55" s="34"/>
      <c r="BT55" s="127"/>
      <c r="BU55" s="34"/>
      <c r="BV55" s="34"/>
      <c r="BW55" s="34"/>
      <c r="BX55" s="34"/>
      <c r="BY55" s="127"/>
      <c r="BZ55" s="34"/>
      <c r="CA55" s="34"/>
      <c r="CB55" s="34"/>
      <c r="CC55" s="34"/>
      <c r="CD55" s="126"/>
      <c r="CE55" s="34"/>
      <c r="CF55" s="34"/>
      <c r="CG55" s="34"/>
      <c r="CH55" s="34"/>
      <c r="CI55" s="127"/>
      <c r="CJ55" s="34"/>
      <c r="CK55" s="34"/>
      <c r="CL55" s="34"/>
      <c r="CM55" s="34"/>
      <c r="CN55" s="127"/>
      <c r="CO55" s="34"/>
      <c r="CP55" s="34"/>
      <c r="CQ55" s="34"/>
      <c r="CR55" s="34"/>
      <c r="CS55" s="126"/>
      <c r="CT55" s="34"/>
      <c r="CU55" s="34"/>
      <c r="CV55" s="34"/>
      <c r="CW55" s="34"/>
      <c r="CX55" s="127"/>
      <c r="CY55" s="34"/>
      <c r="CZ55" s="34"/>
      <c r="DA55" s="34"/>
      <c r="DB55" s="35"/>
    </row>
    <row r="56" spans="1:106" ht="12.75">
      <c r="A56" s="1">
        <v>48</v>
      </c>
      <c r="B56" s="130"/>
      <c r="C56" s="34"/>
      <c r="D56" s="126"/>
      <c r="E56" s="34"/>
      <c r="F56" s="34"/>
      <c r="G56" s="34"/>
      <c r="H56" s="34"/>
      <c r="I56" s="127"/>
      <c r="J56" s="34"/>
      <c r="K56" s="34"/>
      <c r="L56" s="34"/>
      <c r="M56" s="34"/>
      <c r="N56" s="127"/>
      <c r="O56" s="34"/>
      <c r="P56" s="34"/>
      <c r="Q56" s="34"/>
      <c r="R56" s="34"/>
      <c r="S56" s="126"/>
      <c r="T56" s="34"/>
      <c r="U56" s="34"/>
      <c r="V56" s="34"/>
      <c r="W56" s="34"/>
      <c r="X56" s="127"/>
      <c r="Y56" s="34"/>
      <c r="Z56" s="34"/>
      <c r="AA56" s="34"/>
      <c r="AB56" s="34"/>
      <c r="AC56" s="127"/>
      <c r="AD56" s="34"/>
      <c r="AE56" s="34"/>
      <c r="AF56" s="34"/>
      <c r="AG56" s="34"/>
      <c r="AH56" s="126"/>
      <c r="AI56" s="34"/>
      <c r="AJ56" s="34"/>
      <c r="AK56" s="34"/>
      <c r="AL56" s="34"/>
      <c r="AM56" s="127"/>
      <c r="AN56" s="34"/>
      <c r="AO56" s="34"/>
      <c r="AP56" s="34"/>
      <c r="AQ56" s="34"/>
      <c r="AR56" s="127"/>
      <c r="AS56" s="34"/>
      <c r="AT56" s="34"/>
      <c r="AU56" s="34"/>
      <c r="AV56" s="34"/>
      <c r="AW56" s="126"/>
      <c r="AX56" s="34"/>
      <c r="AY56" s="34"/>
      <c r="AZ56" s="34"/>
      <c r="BA56" s="34"/>
      <c r="BB56" s="127"/>
      <c r="BC56" s="34"/>
      <c r="BD56" s="34"/>
      <c r="BE56" s="34"/>
      <c r="BF56" s="34"/>
      <c r="BG56" s="127"/>
      <c r="BH56" s="34"/>
      <c r="BI56" s="34"/>
      <c r="BJ56" s="34"/>
      <c r="BK56" s="34"/>
      <c r="BL56" s="126"/>
      <c r="BM56" s="34"/>
      <c r="BN56" s="34"/>
      <c r="BO56" s="34"/>
      <c r="BP56" s="34"/>
      <c r="BQ56" s="127"/>
      <c r="BR56" s="34"/>
      <c r="BS56" s="34"/>
      <c r="BT56" s="34"/>
      <c r="BU56" s="34"/>
      <c r="BV56" s="127"/>
      <c r="BW56" s="34"/>
      <c r="BX56" s="34"/>
      <c r="BY56" s="34"/>
      <c r="BZ56" s="34"/>
      <c r="CA56" s="126"/>
      <c r="CB56" s="34"/>
      <c r="CC56" s="34"/>
      <c r="CD56" s="34"/>
      <c r="CE56" s="34"/>
      <c r="CF56" s="127"/>
      <c r="CG56" s="34"/>
      <c r="CH56" s="34"/>
      <c r="CI56" s="34"/>
      <c r="CJ56" s="34"/>
      <c r="CK56" s="127"/>
      <c r="CL56" s="34"/>
      <c r="CM56" s="34"/>
      <c r="CN56" s="34"/>
      <c r="CO56" s="34"/>
      <c r="CP56" s="126"/>
      <c r="CQ56" s="34"/>
      <c r="CR56" s="34"/>
      <c r="CS56" s="34"/>
      <c r="CT56" s="34"/>
      <c r="CU56" s="127"/>
      <c r="CV56" s="34"/>
      <c r="CW56" s="34"/>
      <c r="CX56" s="34"/>
      <c r="CY56" s="34"/>
      <c r="CZ56" s="127"/>
      <c r="DA56" s="34"/>
      <c r="DB56" s="35"/>
    </row>
    <row r="57" spans="1:106" ht="12.75">
      <c r="A57" s="1">
        <v>49</v>
      </c>
      <c r="B57" s="129"/>
      <c r="C57" s="34"/>
      <c r="D57" s="34"/>
      <c r="E57" s="34"/>
      <c r="F57" s="34"/>
      <c r="G57" s="126"/>
      <c r="H57" s="34"/>
      <c r="I57" s="34"/>
      <c r="J57" s="34"/>
      <c r="K57" s="34"/>
      <c r="L57" s="127"/>
      <c r="M57" s="34"/>
      <c r="N57" s="34"/>
      <c r="O57" s="34"/>
      <c r="P57" s="34"/>
      <c r="Q57" s="127"/>
      <c r="R57" s="34"/>
      <c r="S57" s="34"/>
      <c r="T57" s="34"/>
      <c r="U57" s="34"/>
      <c r="V57" s="126"/>
      <c r="W57" s="34"/>
      <c r="X57" s="34"/>
      <c r="Y57" s="34"/>
      <c r="Z57" s="34"/>
      <c r="AA57" s="127"/>
      <c r="AB57" s="34"/>
      <c r="AC57" s="34"/>
      <c r="AD57" s="34"/>
      <c r="AE57" s="34"/>
      <c r="AF57" s="127"/>
      <c r="AG57" s="34"/>
      <c r="AH57" s="34"/>
      <c r="AI57" s="34"/>
      <c r="AJ57" s="34"/>
      <c r="AK57" s="126"/>
      <c r="AL57" s="34"/>
      <c r="AM57" s="34"/>
      <c r="AN57" s="34"/>
      <c r="AO57" s="34"/>
      <c r="AP57" s="127"/>
      <c r="AQ57" s="34"/>
      <c r="AR57" s="34"/>
      <c r="AS57" s="34"/>
      <c r="AT57" s="34"/>
      <c r="AU57" s="127"/>
      <c r="AV57" s="34"/>
      <c r="AW57" s="34"/>
      <c r="AX57" s="34"/>
      <c r="AY57" s="34"/>
      <c r="AZ57" s="126"/>
      <c r="BA57" s="34"/>
      <c r="BB57" s="34"/>
      <c r="BC57" s="34"/>
      <c r="BD57" s="34"/>
      <c r="BE57" s="127"/>
      <c r="BF57" s="34"/>
      <c r="BG57" s="34"/>
      <c r="BH57" s="34"/>
      <c r="BI57" s="34"/>
      <c r="BJ57" s="127"/>
      <c r="BK57" s="34"/>
      <c r="BL57" s="34"/>
      <c r="BM57" s="34"/>
      <c r="BN57" s="34"/>
      <c r="BO57" s="126"/>
      <c r="BP57" s="34"/>
      <c r="BQ57" s="34"/>
      <c r="BR57" s="34"/>
      <c r="BS57" s="34"/>
      <c r="BT57" s="127"/>
      <c r="BU57" s="34"/>
      <c r="BV57" s="34"/>
      <c r="BW57" s="34"/>
      <c r="BX57" s="34"/>
      <c r="BY57" s="127"/>
      <c r="BZ57" s="34"/>
      <c r="CA57" s="34"/>
      <c r="CB57" s="34"/>
      <c r="CC57" s="34"/>
      <c r="CD57" s="126"/>
      <c r="CE57" s="34"/>
      <c r="CF57" s="34"/>
      <c r="CG57" s="34"/>
      <c r="CH57" s="34"/>
      <c r="CI57" s="127"/>
      <c r="CJ57" s="34"/>
      <c r="CK57" s="34"/>
      <c r="CL57" s="34"/>
      <c r="CM57" s="34"/>
      <c r="CN57" s="127"/>
      <c r="CO57" s="34"/>
      <c r="CP57" s="34"/>
      <c r="CQ57" s="34"/>
      <c r="CR57" s="34"/>
      <c r="CS57" s="126"/>
      <c r="CT57" s="34"/>
      <c r="CU57" s="34"/>
      <c r="CV57" s="34"/>
      <c r="CW57" s="34"/>
      <c r="CX57" s="127"/>
      <c r="CY57" s="34"/>
      <c r="CZ57" s="34"/>
      <c r="DA57" s="34"/>
      <c r="DB57" s="35"/>
    </row>
    <row r="58" spans="1:106" ht="12.75">
      <c r="A58" s="1">
        <v>50</v>
      </c>
      <c r="B58" s="124"/>
      <c r="C58" s="125"/>
      <c r="D58" s="126"/>
      <c r="E58" s="125"/>
      <c r="F58" s="125"/>
      <c r="G58" s="34"/>
      <c r="H58" s="125"/>
      <c r="I58" s="127"/>
      <c r="J58" s="125"/>
      <c r="K58" s="125"/>
      <c r="L58" s="125"/>
      <c r="M58" s="34"/>
      <c r="N58" s="127"/>
      <c r="O58" s="125"/>
      <c r="P58" s="125"/>
      <c r="Q58" s="125"/>
      <c r="R58" s="125"/>
      <c r="S58" s="126"/>
      <c r="T58" s="125"/>
      <c r="U58" s="125"/>
      <c r="V58" s="34"/>
      <c r="W58" s="125"/>
      <c r="X58" s="127"/>
      <c r="Y58" s="125"/>
      <c r="Z58" s="125"/>
      <c r="AA58" s="125"/>
      <c r="AB58" s="34"/>
      <c r="AC58" s="127"/>
      <c r="AD58" s="125"/>
      <c r="AE58" s="125"/>
      <c r="AF58" s="125"/>
      <c r="AG58" s="125"/>
      <c r="AH58" s="126"/>
      <c r="AI58" s="125"/>
      <c r="AJ58" s="125"/>
      <c r="AK58" s="34"/>
      <c r="AL58" s="125"/>
      <c r="AM58" s="127"/>
      <c r="AN58" s="125"/>
      <c r="AO58" s="125"/>
      <c r="AP58" s="125"/>
      <c r="AQ58" s="34"/>
      <c r="AR58" s="127"/>
      <c r="AS58" s="125"/>
      <c r="AT58" s="125"/>
      <c r="AU58" s="125"/>
      <c r="AV58" s="125"/>
      <c r="AW58" s="126"/>
      <c r="AX58" s="125"/>
      <c r="AY58" s="125"/>
      <c r="AZ58" s="34"/>
      <c r="BA58" s="125"/>
      <c r="BB58" s="127"/>
      <c r="BC58" s="125"/>
      <c r="BD58" s="125"/>
      <c r="BE58" s="125"/>
      <c r="BF58" s="34"/>
      <c r="BG58" s="127"/>
      <c r="BH58" s="125"/>
      <c r="BI58" s="125"/>
      <c r="BJ58" s="125"/>
      <c r="BK58" s="125"/>
      <c r="BL58" s="126"/>
      <c r="BM58" s="125"/>
      <c r="BN58" s="125"/>
      <c r="BO58" s="34"/>
      <c r="BP58" s="125"/>
      <c r="BQ58" s="127"/>
      <c r="BR58" s="125"/>
      <c r="BS58" s="125"/>
      <c r="BT58" s="125"/>
      <c r="BU58" s="34"/>
      <c r="BV58" s="127"/>
      <c r="BW58" s="125"/>
      <c r="BX58" s="125"/>
      <c r="BY58" s="125"/>
      <c r="BZ58" s="125"/>
      <c r="CA58" s="126"/>
      <c r="CB58" s="125"/>
      <c r="CC58" s="125"/>
      <c r="CD58" s="34"/>
      <c r="CE58" s="125"/>
      <c r="CF58" s="127"/>
      <c r="CG58" s="125"/>
      <c r="CH58" s="125"/>
      <c r="CI58" s="125"/>
      <c r="CJ58" s="34"/>
      <c r="CK58" s="127"/>
      <c r="CL58" s="125"/>
      <c r="CM58" s="125"/>
      <c r="CN58" s="125"/>
      <c r="CO58" s="125"/>
      <c r="CP58" s="126"/>
      <c r="CQ58" s="125"/>
      <c r="CR58" s="125"/>
      <c r="CS58" s="34"/>
      <c r="CT58" s="125"/>
      <c r="CU58" s="127"/>
      <c r="CV58" s="125"/>
      <c r="CW58" s="125"/>
      <c r="CX58" s="125"/>
      <c r="CY58" s="34"/>
      <c r="CZ58" s="127"/>
      <c r="DA58" s="125"/>
      <c r="DB58" s="128"/>
    </row>
    <row r="59" spans="1:106" ht="12.75">
      <c r="A59" s="1">
        <v>51</v>
      </c>
      <c r="B59" s="129"/>
      <c r="C59" s="34"/>
      <c r="D59" s="34"/>
      <c r="E59" s="34"/>
      <c r="F59" s="34"/>
      <c r="G59" s="126"/>
      <c r="H59" s="34"/>
      <c r="I59" s="125"/>
      <c r="J59" s="34"/>
      <c r="K59" s="34"/>
      <c r="L59" s="127"/>
      <c r="M59" s="34"/>
      <c r="N59" s="125"/>
      <c r="O59" s="34"/>
      <c r="P59" s="34"/>
      <c r="Q59" s="127"/>
      <c r="R59" s="34"/>
      <c r="S59" s="34"/>
      <c r="T59" s="34"/>
      <c r="U59" s="34"/>
      <c r="V59" s="126"/>
      <c r="W59" s="34"/>
      <c r="X59" s="125"/>
      <c r="Y59" s="34"/>
      <c r="Z59" s="34"/>
      <c r="AA59" s="127"/>
      <c r="AB59" s="34"/>
      <c r="AC59" s="125"/>
      <c r="AD59" s="34"/>
      <c r="AE59" s="34"/>
      <c r="AF59" s="127"/>
      <c r="AG59" s="34"/>
      <c r="AH59" s="34"/>
      <c r="AI59" s="34"/>
      <c r="AJ59" s="34"/>
      <c r="AK59" s="126"/>
      <c r="AL59" s="34"/>
      <c r="AM59" s="125"/>
      <c r="AN59" s="34"/>
      <c r="AO59" s="34"/>
      <c r="AP59" s="127"/>
      <c r="AQ59" s="34"/>
      <c r="AR59" s="125"/>
      <c r="AS59" s="34"/>
      <c r="AT59" s="34"/>
      <c r="AU59" s="127"/>
      <c r="AV59" s="34"/>
      <c r="AW59" s="34"/>
      <c r="AX59" s="34"/>
      <c r="AY59" s="34"/>
      <c r="AZ59" s="126"/>
      <c r="BA59" s="34"/>
      <c r="BB59" s="125"/>
      <c r="BC59" s="34"/>
      <c r="BD59" s="34"/>
      <c r="BE59" s="127"/>
      <c r="BF59" s="34"/>
      <c r="BG59" s="125"/>
      <c r="BH59" s="34"/>
      <c r="BI59" s="34"/>
      <c r="BJ59" s="127"/>
      <c r="BK59" s="34"/>
      <c r="BL59" s="34"/>
      <c r="BM59" s="34"/>
      <c r="BN59" s="34"/>
      <c r="BO59" s="126"/>
      <c r="BP59" s="34"/>
      <c r="BQ59" s="125"/>
      <c r="BR59" s="34"/>
      <c r="BS59" s="34"/>
      <c r="BT59" s="127"/>
      <c r="BU59" s="34"/>
      <c r="BV59" s="125"/>
      <c r="BW59" s="34"/>
      <c r="BX59" s="34"/>
      <c r="BY59" s="127"/>
      <c r="BZ59" s="34"/>
      <c r="CA59" s="34"/>
      <c r="CB59" s="34"/>
      <c r="CC59" s="34"/>
      <c r="CD59" s="126"/>
      <c r="CE59" s="34"/>
      <c r="CF59" s="125"/>
      <c r="CG59" s="34"/>
      <c r="CH59" s="34"/>
      <c r="CI59" s="127"/>
      <c r="CJ59" s="34"/>
      <c r="CK59" s="125"/>
      <c r="CL59" s="34"/>
      <c r="CM59" s="34"/>
      <c r="CN59" s="127"/>
      <c r="CO59" s="34"/>
      <c r="CP59" s="34"/>
      <c r="CQ59" s="34"/>
      <c r="CR59" s="34"/>
      <c r="CS59" s="126"/>
      <c r="CT59" s="34"/>
      <c r="CU59" s="125"/>
      <c r="CV59" s="34"/>
      <c r="CW59" s="34"/>
      <c r="CX59" s="127"/>
      <c r="CY59" s="34"/>
      <c r="CZ59" s="125"/>
      <c r="DA59" s="34"/>
      <c r="DB59" s="35"/>
    </row>
    <row r="60" spans="1:106" ht="12.75">
      <c r="A60" s="1">
        <v>52</v>
      </c>
      <c r="B60" s="130"/>
      <c r="C60" s="34"/>
      <c r="D60" s="126"/>
      <c r="E60" s="34"/>
      <c r="F60" s="34"/>
      <c r="G60" s="34"/>
      <c r="H60" s="34"/>
      <c r="I60" s="127"/>
      <c r="J60" s="34"/>
      <c r="K60" s="34"/>
      <c r="L60" s="34"/>
      <c r="M60" s="34"/>
      <c r="N60" s="127"/>
      <c r="O60" s="34"/>
      <c r="P60" s="34"/>
      <c r="Q60" s="34"/>
      <c r="R60" s="34"/>
      <c r="S60" s="126"/>
      <c r="T60" s="34"/>
      <c r="U60" s="34"/>
      <c r="V60" s="34"/>
      <c r="W60" s="34"/>
      <c r="X60" s="127"/>
      <c r="Y60" s="34"/>
      <c r="Z60" s="34"/>
      <c r="AA60" s="34"/>
      <c r="AB60" s="34"/>
      <c r="AC60" s="127"/>
      <c r="AD60" s="34"/>
      <c r="AE60" s="34"/>
      <c r="AF60" s="34"/>
      <c r="AG60" s="34"/>
      <c r="AH60" s="126"/>
      <c r="AI60" s="34"/>
      <c r="AJ60" s="34"/>
      <c r="AK60" s="34"/>
      <c r="AL60" s="34"/>
      <c r="AM60" s="127"/>
      <c r="AN60" s="34"/>
      <c r="AO60" s="34"/>
      <c r="AP60" s="34"/>
      <c r="AQ60" s="34"/>
      <c r="AR60" s="127"/>
      <c r="AS60" s="34"/>
      <c r="AT60" s="34"/>
      <c r="AU60" s="34"/>
      <c r="AV60" s="34"/>
      <c r="AW60" s="126"/>
      <c r="AX60" s="34"/>
      <c r="AY60" s="34"/>
      <c r="AZ60" s="34"/>
      <c r="BA60" s="34"/>
      <c r="BB60" s="127"/>
      <c r="BC60" s="34"/>
      <c r="BD60" s="34"/>
      <c r="BE60" s="34"/>
      <c r="BF60" s="34"/>
      <c r="BG60" s="127"/>
      <c r="BH60" s="34"/>
      <c r="BI60" s="34"/>
      <c r="BJ60" s="34"/>
      <c r="BK60" s="34"/>
      <c r="BL60" s="126"/>
      <c r="BM60" s="34"/>
      <c r="BN60" s="34"/>
      <c r="BO60" s="34"/>
      <c r="BP60" s="34"/>
      <c r="BQ60" s="127"/>
      <c r="BR60" s="34"/>
      <c r="BS60" s="34"/>
      <c r="BT60" s="34"/>
      <c r="BU60" s="34"/>
      <c r="BV60" s="127"/>
      <c r="BW60" s="34"/>
      <c r="BX60" s="34"/>
      <c r="BY60" s="34"/>
      <c r="BZ60" s="34"/>
      <c r="CA60" s="126"/>
      <c r="CB60" s="34"/>
      <c r="CC60" s="34"/>
      <c r="CD60" s="34"/>
      <c r="CE60" s="34"/>
      <c r="CF60" s="127"/>
      <c r="CG60" s="34"/>
      <c r="CH60" s="34"/>
      <c r="CI60" s="34"/>
      <c r="CJ60" s="34"/>
      <c r="CK60" s="127"/>
      <c r="CL60" s="34"/>
      <c r="CM60" s="34"/>
      <c r="CN60" s="34"/>
      <c r="CO60" s="34"/>
      <c r="CP60" s="126"/>
      <c r="CQ60" s="34"/>
      <c r="CR60" s="34"/>
      <c r="CS60" s="34"/>
      <c r="CT60" s="34"/>
      <c r="CU60" s="127"/>
      <c r="CV60" s="34"/>
      <c r="CW60" s="34"/>
      <c r="CX60" s="34"/>
      <c r="CY60" s="34"/>
      <c r="CZ60" s="127"/>
      <c r="DA60" s="34"/>
      <c r="DB60" s="35"/>
    </row>
    <row r="61" spans="1:106" ht="12.75">
      <c r="A61" s="1">
        <v>53</v>
      </c>
      <c r="B61" s="129"/>
      <c r="C61" s="34"/>
      <c r="D61" s="34"/>
      <c r="E61" s="34"/>
      <c r="F61" s="34"/>
      <c r="G61" s="126"/>
      <c r="H61" s="34"/>
      <c r="I61" s="34"/>
      <c r="J61" s="34"/>
      <c r="K61" s="34"/>
      <c r="L61" s="127"/>
      <c r="M61" s="34"/>
      <c r="N61" s="34"/>
      <c r="O61" s="34"/>
      <c r="P61" s="34"/>
      <c r="Q61" s="127"/>
      <c r="R61" s="34"/>
      <c r="S61" s="34"/>
      <c r="T61" s="34"/>
      <c r="U61" s="34"/>
      <c r="V61" s="126"/>
      <c r="W61" s="34"/>
      <c r="X61" s="34"/>
      <c r="Y61" s="34"/>
      <c r="Z61" s="34"/>
      <c r="AA61" s="127"/>
      <c r="AB61" s="34"/>
      <c r="AC61" s="34"/>
      <c r="AD61" s="34"/>
      <c r="AE61" s="34"/>
      <c r="AF61" s="127"/>
      <c r="AG61" s="34"/>
      <c r="AH61" s="34"/>
      <c r="AI61" s="34"/>
      <c r="AJ61" s="34"/>
      <c r="AK61" s="126"/>
      <c r="AL61" s="34"/>
      <c r="AM61" s="34"/>
      <c r="AN61" s="34"/>
      <c r="AO61" s="34"/>
      <c r="AP61" s="127"/>
      <c r="AQ61" s="34"/>
      <c r="AR61" s="34"/>
      <c r="AS61" s="34"/>
      <c r="AT61" s="34"/>
      <c r="AU61" s="127"/>
      <c r="AV61" s="34"/>
      <c r="AW61" s="34"/>
      <c r="AX61" s="34"/>
      <c r="AY61" s="34"/>
      <c r="AZ61" s="126"/>
      <c r="BA61" s="34"/>
      <c r="BB61" s="34"/>
      <c r="BC61" s="34"/>
      <c r="BD61" s="34"/>
      <c r="BE61" s="127"/>
      <c r="BF61" s="34"/>
      <c r="BG61" s="34"/>
      <c r="BH61" s="34"/>
      <c r="BI61" s="34"/>
      <c r="BJ61" s="127"/>
      <c r="BK61" s="34"/>
      <c r="BL61" s="34"/>
      <c r="BM61" s="34"/>
      <c r="BN61" s="34"/>
      <c r="BO61" s="126"/>
      <c r="BP61" s="34"/>
      <c r="BQ61" s="34"/>
      <c r="BR61" s="34"/>
      <c r="BS61" s="34"/>
      <c r="BT61" s="127"/>
      <c r="BU61" s="34"/>
      <c r="BV61" s="34"/>
      <c r="BW61" s="34"/>
      <c r="BX61" s="34"/>
      <c r="BY61" s="127"/>
      <c r="BZ61" s="34"/>
      <c r="CA61" s="34"/>
      <c r="CB61" s="34"/>
      <c r="CC61" s="34"/>
      <c r="CD61" s="126"/>
      <c r="CE61" s="34"/>
      <c r="CF61" s="34"/>
      <c r="CG61" s="34"/>
      <c r="CH61" s="34"/>
      <c r="CI61" s="127"/>
      <c r="CJ61" s="34"/>
      <c r="CK61" s="34"/>
      <c r="CL61" s="34"/>
      <c r="CM61" s="34"/>
      <c r="CN61" s="127"/>
      <c r="CO61" s="34"/>
      <c r="CP61" s="34"/>
      <c r="CQ61" s="34"/>
      <c r="CR61" s="34"/>
      <c r="CS61" s="126"/>
      <c r="CT61" s="34"/>
      <c r="CU61" s="34"/>
      <c r="CV61" s="34"/>
      <c r="CW61" s="34"/>
      <c r="CX61" s="127"/>
      <c r="CY61" s="34"/>
      <c r="CZ61" s="34"/>
      <c r="DA61" s="34"/>
      <c r="DB61" s="35"/>
    </row>
    <row r="62" spans="1:106" ht="12.75">
      <c r="A62" s="1">
        <v>54</v>
      </c>
      <c r="B62" s="130"/>
      <c r="C62" s="34"/>
      <c r="D62" s="126"/>
      <c r="E62" s="34"/>
      <c r="F62" s="34"/>
      <c r="G62" s="34"/>
      <c r="H62" s="34"/>
      <c r="I62" s="127"/>
      <c r="J62" s="34"/>
      <c r="K62" s="34"/>
      <c r="L62" s="34"/>
      <c r="M62" s="34"/>
      <c r="N62" s="127"/>
      <c r="O62" s="34"/>
      <c r="P62" s="34"/>
      <c r="Q62" s="34"/>
      <c r="R62" s="34"/>
      <c r="S62" s="126"/>
      <c r="T62" s="34"/>
      <c r="U62" s="34"/>
      <c r="V62" s="34"/>
      <c r="W62" s="34"/>
      <c r="X62" s="127"/>
      <c r="Y62" s="34"/>
      <c r="Z62" s="34"/>
      <c r="AA62" s="34"/>
      <c r="AB62" s="34"/>
      <c r="AC62" s="127"/>
      <c r="AD62" s="34"/>
      <c r="AE62" s="34"/>
      <c r="AF62" s="34"/>
      <c r="AG62" s="34"/>
      <c r="AH62" s="126"/>
      <c r="AI62" s="34"/>
      <c r="AJ62" s="34"/>
      <c r="AK62" s="34"/>
      <c r="AL62" s="34"/>
      <c r="AM62" s="127"/>
      <c r="AN62" s="34"/>
      <c r="AO62" s="34"/>
      <c r="AP62" s="34"/>
      <c r="AQ62" s="34"/>
      <c r="AR62" s="127"/>
      <c r="AS62" s="34"/>
      <c r="AT62" s="34"/>
      <c r="AU62" s="34"/>
      <c r="AV62" s="34"/>
      <c r="AW62" s="126"/>
      <c r="AX62" s="34"/>
      <c r="AY62" s="34"/>
      <c r="AZ62" s="34"/>
      <c r="BA62" s="34"/>
      <c r="BB62" s="127"/>
      <c r="BC62" s="34"/>
      <c r="BD62" s="34"/>
      <c r="BE62" s="34"/>
      <c r="BF62" s="34"/>
      <c r="BG62" s="127"/>
      <c r="BH62" s="34"/>
      <c r="BI62" s="34"/>
      <c r="BJ62" s="34"/>
      <c r="BK62" s="34"/>
      <c r="BL62" s="126"/>
      <c r="BM62" s="34"/>
      <c r="BN62" s="34"/>
      <c r="BO62" s="34"/>
      <c r="BP62" s="34"/>
      <c r="BQ62" s="127"/>
      <c r="BR62" s="34"/>
      <c r="BS62" s="34"/>
      <c r="BT62" s="34"/>
      <c r="BU62" s="34"/>
      <c r="BV62" s="127"/>
      <c r="BW62" s="34"/>
      <c r="BX62" s="34"/>
      <c r="BY62" s="34"/>
      <c r="BZ62" s="34"/>
      <c r="CA62" s="126"/>
      <c r="CB62" s="34"/>
      <c r="CC62" s="34"/>
      <c r="CD62" s="34"/>
      <c r="CE62" s="34"/>
      <c r="CF62" s="127"/>
      <c r="CG62" s="34"/>
      <c r="CH62" s="34"/>
      <c r="CI62" s="34"/>
      <c r="CJ62" s="34"/>
      <c r="CK62" s="127"/>
      <c r="CL62" s="34"/>
      <c r="CM62" s="34"/>
      <c r="CN62" s="34"/>
      <c r="CO62" s="34"/>
      <c r="CP62" s="126"/>
      <c r="CQ62" s="34"/>
      <c r="CR62" s="34"/>
      <c r="CS62" s="34"/>
      <c r="CT62" s="34"/>
      <c r="CU62" s="127"/>
      <c r="CV62" s="34"/>
      <c r="CW62" s="34"/>
      <c r="CX62" s="34"/>
      <c r="CY62" s="34"/>
      <c r="CZ62" s="127"/>
      <c r="DA62" s="34"/>
      <c r="DB62" s="35"/>
    </row>
    <row r="63" spans="1:106" ht="12.75">
      <c r="A63" s="1">
        <v>55</v>
      </c>
      <c r="B63" s="129"/>
      <c r="C63" s="34"/>
      <c r="D63" s="34"/>
      <c r="E63" s="34"/>
      <c r="F63" s="34"/>
      <c r="G63" s="126"/>
      <c r="H63" s="34"/>
      <c r="I63" s="34"/>
      <c r="J63" s="34"/>
      <c r="K63" s="34"/>
      <c r="L63" s="127"/>
      <c r="M63" s="34"/>
      <c r="N63" s="34"/>
      <c r="O63" s="34"/>
      <c r="P63" s="34"/>
      <c r="Q63" s="127"/>
      <c r="R63" s="34"/>
      <c r="S63" s="34"/>
      <c r="T63" s="34"/>
      <c r="U63" s="34"/>
      <c r="V63" s="126"/>
      <c r="W63" s="34"/>
      <c r="X63" s="34"/>
      <c r="Y63" s="34"/>
      <c r="Z63" s="34"/>
      <c r="AA63" s="127"/>
      <c r="AB63" s="34"/>
      <c r="AC63" s="34"/>
      <c r="AD63" s="34"/>
      <c r="AE63" s="34"/>
      <c r="AF63" s="127"/>
      <c r="AG63" s="34"/>
      <c r="AH63" s="34"/>
      <c r="AI63" s="34"/>
      <c r="AJ63" s="34"/>
      <c r="AK63" s="126"/>
      <c r="AL63" s="34"/>
      <c r="AM63" s="34"/>
      <c r="AN63" s="34"/>
      <c r="AO63" s="34"/>
      <c r="AP63" s="127"/>
      <c r="AQ63" s="34"/>
      <c r="AR63" s="34"/>
      <c r="AS63" s="34"/>
      <c r="AT63" s="34"/>
      <c r="AU63" s="127"/>
      <c r="AV63" s="34"/>
      <c r="AW63" s="34"/>
      <c r="AX63" s="34"/>
      <c r="AY63" s="34"/>
      <c r="AZ63" s="126"/>
      <c r="BA63" s="34"/>
      <c r="BB63" s="34"/>
      <c r="BC63" s="34"/>
      <c r="BD63" s="34"/>
      <c r="BE63" s="127"/>
      <c r="BF63" s="34"/>
      <c r="BG63" s="34"/>
      <c r="BH63" s="34"/>
      <c r="BI63" s="34"/>
      <c r="BJ63" s="127"/>
      <c r="BK63" s="34"/>
      <c r="BL63" s="34"/>
      <c r="BM63" s="34"/>
      <c r="BN63" s="34"/>
      <c r="BO63" s="126"/>
      <c r="BP63" s="34"/>
      <c r="BQ63" s="34"/>
      <c r="BR63" s="34"/>
      <c r="BS63" s="34"/>
      <c r="BT63" s="127"/>
      <c r="BU63" s="34"/>
      <c r="BV63" s="34"/>
      <c r="BW63" s="34"/>
      <c r="BX63" s="34"/>
      <c r="BY63" s="127"/>
      <c r="BZ63" s="34"/>
      <c r="CA63" s="34"/>
      <c r="CB63" s="34"/>
      <c r="CC63" s="34"/>
      <c r="CD63" s="126"/>
      <c r="CE63" s="34"/>
      <c r="CF63" s="34"/>
      <c r="CG63" s="34"/>
      <c r="CH63" s="34"/>
      <c r="CI63" s="127"/>
      <c r="CJ63" s="34"/>
      <c r="CK63" s="34"/>
      <c r="CL63" s="34"/>
      <c r="CM63" s="34"/>
      <c r="CN63" s="127"/>
      <c r="CO63" s="34"/>
      <c r="CP63" s="34"/>
      <c r="CQ63" s="34"/>
      <c r="CR63" s="34"/>
      <c r="CS63" s="126"/>
      <c r="CT63" s="34"/>
      <c r="CU63" s="34"/>
      <c r="CV63" s="34"/>
      <c r="CW63" s="34"/>
      <c r="CX63" s="127"/>
      <c r="CY63" s="34"/>
      <c r="CZ63" s="34"/>
      <c r="DA63" s="34"/>
      <c r="DB63" s="35"/>
    </row>
    <row r="64" spans="1:106" ht="12.75">
      <c r="A64" s="1">
        <v>56</v>
      </c>
      <c r="B64" s="130"/>
      <c r="C64" s="34"/>
      <c r="D64" s="126"/>
      <c r="E64" s="34"/>
      <c r="F64" s="34"/>
      <c r="G64" s="34"/>
      <c r="H64" s="34"/>
      <c r="I64" s="127"/>
      <c r="J64" s="34"/>
      <c r="K64" s="34"/>
      <c r="L64" s="34"/>
      <c r="M64" s="34"/>
      <c r="N64" s="127"/>
      <c r="O64" s="34"/>
      <c r="P64" s="34"/>
      <c r="Q64" s="34"/>
      <c r="R64" s="34"/>
      <c r="S64" s="126"/>
      <c r="T64" s="34"/>
      <c r="U64" s="34"/>
      <c r="V64" s="34"/>
      <c r="W64" s="34"/>
      <c r="X64" s="127"/>
      <c r="Y64" s="34"/>
      <c r="Z64" s="34"/>
      <c r="AA64" s="34"/>
      <c r="AB64" s="34"/>
      <c r="AC64" s="127"/>
      <c r="AD64" s="34"/>
      <c r="AE64" s="34"/>
      <c r="AF64" s="34"/>
      <c r="AG64" s="34"/>
      <c r="AH64" s="126"/>
      <c r="AI64" s="34"/>
      <c r="AJ64" s="34"/>
      <c r="AK64" s="34"/>
      <c r="AL64" s="34"/>
      <c r="AM64" s="127"/>
      <c r="AN64" s="34"/>
      <c r="AO64" s="34"/>
      <c r="AP64" s="34"/>
      <c r="AQ64" s="34"/>
      <c r="AR64" s="127"/>
      <c r="AS64" s="34"/>
      <c r="AT64" s="34"/>
      <c r="AU64" s="34"/>
      <c r="AV64" s="34"/>
      <c r="AW64" s="126"/>
      <c r="AX64" s="34"/>
      <c r="AY64" s="34"/>
      <c r="AZ64" s="34"/>
      <c r="BA64" s="34"/>
      <c r="BB64" s="127"/>
      <c r="BC64" s="34"/>
      <c r="BD64" s="34"/>
      <c r="BE64" s="34"/>
      <c r="BF64" s="34"/>
      <c r="BG64" s="127"/>
      <c r="BH64" s="34"/>
      <c r="BI64" s="34"/>
      <c r="BJ64" s="34"/>
      <c r="BK64" s="34"/>
      <c r="BL64" s="126"/>
      <c r="BM64" s="34"/>
      <c r="BN64" s="34"/>
      <c r="BO64" s="34"/>
      <c r="BP64" s="34"/>
      <c r="BQ64" s="127"/>
      <c r="BR64" s="34"/>
      <c r="BS64" s="34"/>
      <c r="BT64" s="34"/>
      <c r="BU64" s="34"/>
      <c r="BV64" s="127"/>
      <c r="BW64" s="34"/>
      <c r="BX64" s="34"/>
      <c r="BY64" s="34"/>
      <c r="BZ64" s="34"/>
      <c r="CA64" s="126"/>
      <c r="CB64" s="34"/>
      <c r="CC64" s="34"/>
      <c r="CD64" s="34"/>
      <c r="CE64" s="34"/>
      <c r="CF64" s="127"/>
      <c r="CG64" s="34"/>
      <c r="CH64" s="34"/>
      <c r="CI64" s="34"/>
      <c r="CJ64" s="34"/>
      <c r="CK64" s="127"/>
      <c r="CL64" s="34"/>
      <c r="CM64" s="34"/>
      <c r="CN64" s="34"/>
      <c r="CO64" s="34"/>
      <c r="CP64" s="126"/>
      <c r="CQ64" s="34"/>
      <c r="CR64" s="34"/>
      <c r="CS64" s="34"/>
      <c r="CT64" s="34"/>
      <c r="CU64" s="127"/>
      <c r="CV64" s="34"/>
      <c r="CW64" s="34"/>
      <c r="CX64" s="34"/>
      <c r="CY64" s="34"/>
      <c r="CZ64" s="127"/>
      <c r="DA64" s="34"/>
      <c r="DB64" s="35"/>
    </row>
    <row r="65" spans="1:106" ht="12.75">
      <c r="A65" s="1">
        <v>57</v>
      </c>
      <c r="B65" s="129"/>
      <c r="C65" s="34"/>
      <c r="D65" s="34"/>
      <c r="E65" s="34"/>
      <c r="F65" s="34"/>
      <c r="G65" s="126"/>
      <c r="H65" s="34"/>
      <c r="I65" s="34"/>
      <c r="J65" s="34"/>
      <c r="K65" s="34"/>
      <c r="L65" s="127"/>
      <c r="M65" s="34"/>
      <c r="N65" s="34"/>
      <c r="O65" s="34"/>
      <c r="P65" s="34"/>
      <c r="Q65" s="127"/>
      <c r="R65" s="34"/>
      <c r="S65" s="34"/>
      <c r="T65" s="34"/>
      <c r="U65" s="34"/>
      <c r="V65" s="126"/>
      <c r="W65" s="34"/>
      <c r="X65" s="34"/>
      <c r="Y65" s="34"/>
      <c r="Z65" s="34"/>
      <c r="AA65" s="127"/>
      <c r="AB65" s="34"/>
      <c r="AC65" s="34"/>
      <c r="AD65" s="34"/>
      <c r="AE65" s="34"/>
      <c r="AF65" s="127"/>
      <c r="AG65" s="34"/>
      <c r="AH65" s="34"/>
      <c r="AI65" s="34"/>
      <c r="AJ65" s="34"/>
      <c r="AK65" s="126"/>
      <c r="AL65" s="34"/>
      <c r="AM65" s="34"/>
      <c r="AN65" s="34"/>
      <c r="AO65" s="34"/>
      <c r="AP65" s="127"/>
      <c r="AQ65" s="34"/>
      <c r="AR65" s="34"/>
      <c r="AS65" s="34"/>
      <c r="AT65" s="34"/>
      <c r="AU65" s="127"/>
      <c r="AV65" s="34"/>
      <c r="AW65" s="34"/>
      <c r="AX65" s="34"/>
      <c r="AY65" s="34"/>
      <c r="AZ65" s="126"/>
      <c r="BA65" s="34"/>
      <c r="BB65" s="34"/>
      <c r="BC65" s="34"/>
      <c r="BD65" s="34"/>
      <c r="BE65" s="127"/>
      <c r="BF65" s="34"/>
      <c r="BG65" s="34"/>
      <c r="BH65" s="34"/>
      <c r="BI65" s="34"/>
      <c r="BJ65" s="127"/>
      <c r="BK65" s="34"/>
      <c r="BL65" s="34"/>
      <c r="BM65" s="34"/>
      <c r="BN65" s="34"/>
      <c r="BO65" s="126"/>
      <c r="BP65" s="34"/>
      <c r="BQ65" s="34"/>
      <c r="BR65" s="34"/>
      <c r="BS65" s="34"/>
      <c r="BT65" s="127"/>
      <c r="BU65" s="34"/>
      <c r="BV65" s="34"/>
      <c r="BW65" s="34"/>
      <c r="BX65" s="34"/>
      <c r="BY65" s="127"/>
      <c r="BZ65" s="34"/>
      <c r="CA65" s="34"/>
      <c r="CB65" s="34"/>
      <c r="CC65" s="34"/>
      <c r="CD65" s="126"/>
      <c r="CE65" s="34"/>
      <c r="CF65" s="34"/>
      <c r="CG65" s="34"/>
      <c r="CH65" s="34"/>
      <c r="CI65" s="127"/>
      <c r="CJ65" s="34"/>
      <c r="CK65" s="34"/>
      <c r="CL65" s="34"/>
      <c r="CM65" s="34"/>
      <c r="CN65" s="127"/>
      <c r="CO65" s="34"/>
      <c r="CP65" s="34"/>
      <c r="CQ65" s="34"/>
      <c r="CR65" s="34"/>
      <c r="CS65" s="126"/>
      <c r="CT65" s="34"/>
      <c r="CU65" s="34"/>
      <c r="CV65" s="34"/>
      <c r="CW65" s="34"/>
      <c r="CX65" s="127"/>
      <c r="CY65" s="34"/>
      <c r="CZ65" s="34"/>
      <c r="DA65" s="34"/>
      <c r="DB65" s="35"/>
    </row>
    <row r="66" spans="1:106" ht="12.75">
      <c r="A66" s="1">
        <v>58</v>
      </c>
      <c r="B66" s="124"/>
      <c r="C66" s="125"/>
      <c r="D66" s="126"/>
      <c r="E66" s="125"/>
      <c r="F66" s="125"/>
      <c r="G66" s="34"/>
      <c r="H66" s="125"/>
      <c r="I66" s="127"/>
      <c r="J66" s="125"/>
      <c r="K66" s="125"/>
      <c r="L66" s="125"/>
      <c r="M66" s="34"/>
      <c r="N66" s="127"/>
      <c r="O66" s="125"/>
      <c r="P66" s="125"/>
      <c r="Q66" s="125"/>
      <c r="R66" s="125"/>
      <c r="S66" s="126"/>
      <c r="T66" s="125"/>
      <c r="U66" s="125"/>
      <c r="V66" s="34"/>
      <c r="W66" s="125"/>
      <c r="X66" s="127"/>
      <c r="Y66" s="125"/>
      <c r="Z66" s="125"/>
      <c r="AA66" s="125"/>
      <c r="AB66" s="34"/>
      <c r="AC66" s="127"/>
      <c r="AD66" s="125"/>
      <c r="AE66" s="125"/>
      <c r="AF66" s="125"/>
      <c r="AG66" s="125"/>
      <c r="AH66" s="126"/>
      <c r="AI66" s="125"/>
      <c r="AJ66" s="125"/>
      <c r="AK66" s="34"/>
      <c r="AL66" s="125"/>
      <c r="AM66" s="127"/>
      <c r="AN66" s="125"/>
      <c r="AO66" s="125"/>
      <c r="AP66" s="125"/>
      <c r="AQ66" s="34"/>
      <c r="AR66" s="127"/>
      <c r="AS66" s="125"/>
      <c r="AT66" s="125"/>
      <c r="AU66" s="125"/>
      <c r="AV66" s="125"/>
      <c r="AW66" s="126"/>
      <c r="AX66" s="125"/>
      <c r="AY66" s="125"/>
      <c r="AZ66" s="34"/>
      <c r="BA66" s="125"/>
      <c r="BB66" s="127"/>
      <c r="BC66" s="125"/>
      <c r="BD66" s="125"/>
      <c r="BE66" s="125"/>
      <c r="BF66" s="34"/>
      <c r="BG66" s="127"/>
      <c r="BH66" s="125"/>
      <c r="BI66" s="125"/>
      <c r="BJ66" s="125"/>
      <c r="BK66" s="125"/>
      <c r="BL66" s="126"/>
      <c r="BM66" s="125"/>
      <c r="BN66" s="125"/>
      <c r="BO66" s="34"/>
      <c r="BP66" s="125"/>
      <c r="BQ66" s="127"/>
      <c r="BR66" s="125"/>
      <c r="BS66" s="125"/>
      <c r="BT66" s="125"/>
      <c r="BU66" s="34"/>
      <c r="BV66" s="127"/>
      <c r="BW66" s="125"/>
      <c r="BX66" s="125"/>
      <c r="BY66" s="125"/>
      <c r="BZ66" s="125"/>
      <c r="CA66" s="126"/>
      <c r="CB66" s="125"/>
      <c r="CC66" s="125"/>
      <c r="CD66" s="34"/>
      <c r="CE66" s="125"/>
      <c r="CF66" s="127"/>
      <c r="CG66" s="125"/>
      <c r="CH66" s="125"/>
      <c r="CI66" s="125"/>
      <c r="CJ66" s="34"/>
      <c r="CK66" s="127"/>
      <c r="CL66" s="125"/>
      <c r="CM66" s="125"/>
      <c r="CN66" s="125"/>
      <c r="CO66" s="125"/>
      <c r="CP66" s="126"/>
      <c r="CQ66" s="125"/>
      <c r="CR66" s="125"/>
      <c r="CS66" s="34"/>
      <c r="CT66" s="125"/>
      <c r="CU66" s="127"/>
      <c r="CV66" s="125"/>
      <c r="CW66" s="125"/>
      <c r="CX66" s="125"/>
      <c r="CY66" s="34"/>
      <c r="CZ66" s="127"/>
      <c r="DA66" s="125"/>
      <c r="DB66" s="128"/>
    </row>
    <row r="67" spans="1:106" ht="12.75">
      <c r="A67" s="1">
        <v>59</v>
      </c>
      <c r="B67" s="129"/>
      <c r="C67" s="34"/>
      <c r="D67" s="34"/>
      <c r="E67" s="34"/>
      <c r="F67" s="34"/>
      <c r="G67" s="126"/>
      <c r="H67" s="34"/>
      <c r="I67" s="125"/>
      <c r="J67" s="34"/>
      <c r="K67" s="34"/>
      <c r="L67" s="127"/>
      <c r="M67" s="34"/>
      <c r="N67" s="125"/>
      <c r="O67" s="34"/>
      <c r="P67" s="34"/>
      <c r="Q67" s="127"/>
      <c r="R67" s="34"/>
      <c r="S67" s="34"/>
      <c r="T67" s="34"/>
      <c r="U67" s="34"/>
      <c r="V67" s="126"/>
      <c r="W67" s="34"/>
      <c r="X67" s="125"/>
      <c r="Y67" s="34"/>
      <c r="Z67" s="34"/>
      <c r="AA67" s="127"/>
      <c r="AB67" s="34"/>
      <c r="AC67" s="125"/>
      <c r="AD67" s="34"/>
      <c r="AE67" s="34"/>
      <c r="AF67" s="127"/>
      <c r="AG67" s="34"/>
      <c r="AH67" s="34"/>
      <c r="AI67" s="34"/>
      <c r="AJ67" s="34"/>
      <c r="AK67" s="126"/>
      <c r="AL67" s="34"/>
      <c r="AM67" s="125"/>
      <c r="AN67" s="34"/>
      <c r="AO67" s="34"/>
      <c r="AP67" s="127"/>
      <c r="AQ67" s="34"/>
      <c r="AR67" s="125"/>
      <c r="AS67" s="34"/>
      <c r="AT67" s="34"/>
      <c r="AU67" s="127"/>
      <c r="AV67" s="34"/>
      <c r="AW67" s="34"/>
      <c r="AX67" s="34"/>
      <c r="AY67" s="34"/>
      <c r="AZ67" s="126"/>
      <c r="BA67" s="34"/>
      <c r="BB67" s="125"/>
      <c r="BC67" s="34"/>
      <c r="BD67" s="34"/>
      <c r="BE67" s="127"/>
      <c r="BF67" s="34"/>
      <c r="BG67" s="125"/>
      <c r="BH67" s="34"/>
      <c r="BI67" s="34"/>
      <c r="BJ67" s="127"/>
      <c r="BK67" s="34"/>
      <c r="BL67" s="34"/>
      <c r="BM67" s="34"/>
      <c r="BN67" s="34"/>
      <c r="BO67" s="126"/>
      <c r="BP67" s="34"/>
      <c r="BQ67" s="125"/>
      <c r="BR67" s="34"/>
      <c r="BS67" s="34"/>
      <c r="BT67" s="127"/>
      <c r="BU67" s="34"/>
      <c r="BV67" s="125"/>
      <c r="BW67" s="34"/>
      <c r="BX67" s="34"/>
      <c r="BY67" s="127"/>
      <c r="BZ67" s="34"/>
      <c r="CA67" s="34"/>
      <c r="CB67" s="34"/>
      <c r="CC67" s="34"/>
      <c r="CD67" s="126"/>
      <c r="CE67" s="34"/>
      <c r="CF67" s="125"/>
      <c r="CG67" s="34"/>
      <c r="CH67" s="34"/>
      <c r="CI67" s="127"/>
      <c r="CJ67" s="34"/>
      <c r="CK67" s="125"/>
      <c r="CL67" s="34"/>
      <c r="CM67" s="34"/>
      <c r="CN67" s="127"/>
      <c r="CO67" s="34"/>
      <c r="CP67" s="34"/>
      <c r="CQ67" s="34"/>
      <c r="CR67" s="34"/>
      <c r="CS67" s="126"/>
      <c r="CT67" s="34"/>
      <c r="CU67" s="125"/>
      <c r="CV67" s="34"/>
      <c r="CW67" s="34"/>
      <c r="CX67" s="127"/>
      <c r="CY67" s="34"/>
      <c r="CZ67" s="125"/>
      <c r="DA67" s="34"/>
      <c r="DB67" s="35"/>
    </row>
    <row r="68" spans="1:106" ht="12.75">
      <c r="A68" s="1">
        <v>60</v>
      </c>
      <c r="B68" s="130"/>
      <c r="C68" s="34"/>
      <c r="D68" s="126"/>
      <c r="E68" s="34"/>
      <c r="F68" s="34"/>
      <c r="G68" s="34"/>
      <c r="H68" s="34"/>
      <c r="I68" s="127"/>
      <c r="J68" s="34"/>
      <c r="K68" s="34"/>
      <c r="L68" s="34"/>
      <c r="M68" s="34"/>
      <c r="N68" s="127"/>
      <c r="O68" s="34"/>
      <c r="P68" s="34"/>
      <c r="Q68" s="34"/>
      <c r="R68" s="34"/>
      <c r="S68" s="126"/>
      <c r="T68" s="34"/>
      <c r="U68" s="34"/>
      <c r="V68" s="34"/>
      <c r="W68" s="34"/>
      <c r="X68" s="127"/>
      <c r="Y68" s="34"/>
      <c r="Z68" s="34"/>
      <c r="AA68" s="34"/>
      <c r="AB68" s="34"/>
      <c r="AC68" s="127"/>
      <c r="AD68" s="34"/>
      <c r="AE68" s="34"/>
      <c r="AF68" s="34"/>
      <c r="AG68" s="34"/>
      <c r="AH68" s="126"/>
      <c r="AI68" s="34"/>
      <c r="AJ68" s="34"/>
      <c r="AK68" s="34"/>
      <c r="AL68" s="34"/>
      <c r="AM68" s="127"/>
      <c r="AN68" s="34"/>
      <c r="AO68" s="34"/>
      <c r="AP68" s="34"/>
      <c r="AQ68" s="34"/>
      <c r="AR68" s="127"/>
      <c r="AS68" s="34"/>
      <c r="AT68" s="34"/>
      <c r="AU68" s="34"/>
      <c r="AV68" s="34"/>
      <c r="AW68" s="126"/>
      <c r="AX68" s="34"/>
      <c r="AY68" s="34"/>
      <c r="AZ68" s="34"/>
      <c r="BA68" s="34"/>
      <c r="BB68" s="127"/>
      <c r="BC68" s="34"/>
      <c r="BD68" s="34"/>
      <c r="BE68" s="34"/>
      <c r="BF68" s="34"/>
      <c r="BG68" s="127"/>
      <c r="BH68" s="34"/>
      <c r="BI68" s="34"/>
      <c r="BJ68" s="34"/>
      <c r="BK68" s="34"/>
      <c r="BL68" s="126"/>
      <c r="BM68" s="34"/>
      <c r="BN68" s="34"/>
      <c r="BO68" s="34"/>
      <c r="BP68" s="34"/>
      <c r="BQ68" s="127"/>
      <c r="BR68" s="34"/>
      <c r="BS68" s="34"/>
      <c r="BT68" s="34"/>
      <c r="BU68" s="34"/>
      <c r="BV68" s="127"/>
      <c r="BW68" s="34"/>
      <c r="BX68" s="34"/>
      <c r="BY68" s="34"/>
      <c r="BZ68" s="34"/>
      <c r="CA68" s="126"/>
      <c r="CB68" s="34"/>
      <c r="CC68" s="34"/>
      <c r="CD68" s="34"/>
      <c r="CE68" s="34"/>
      <c r="CF68" s="127"/>
      <c r="CG68" s="34"/>
      <c r="CH68" s="34"/>
      <c r="CI68" s="34"/>
      <c r="CJ68" s="34"/>
      <c r="CK68" s="127"/>
      <c r="CL68" s="34"/>
      <c r="CM68" s="34"/>
      <c r="CN68" s="34"/>
      <c r="CO68" s="34"/>
      <c r="CP68" s="126"/>
      <c r="CQ68" s="34"/>
      <c r="CR68" s="34"/>
      <c r="CS68" s="34"/>
      <c r="CT68" s="34"/>
      <c r="CU68" s="127"/>
      <c r="CV68" s="34"/>
      <c r="CW68" s="34"/>
      <c r="CX68" s="34"/>
      <c r="CY68" s="34"/>
      <c r="CZ68" s="127"/>
      <c r="DA68" s="34"/>
      <c r="DB68" s="35"/>
    </row>
    <row r="69" spans="1:106" ht="12.75">
      <c r="A69" s="1">
        <v>61</v>
      </c>
      <c r="B69" s="129"/>
      <c r="C69" s="34"/>
      <c r="D69" s="34"/>
      <c r="E69" s="34"/>
      <c r="F69" s="34"/>
      <c r="G69" s="126"/>
      <c r="H69" s="34"/>
      <c r="I69" s="34"/>
      <c r="J69" s="34"/>
      <c r="K69" s="34"/>
      <c r="L69" s="127"/>
      <c r="M69" s="34"/>
      <c r="N69" s="34"/>
      <c r="O69" s="34"/>
      <c r="P69" s="34"/>
      <c r="Q69" s="127"/>
      <c r="R69" s="34"/>
      <c r="S69" s="34"/>
      <c r="T69" s="34"/>
      <c r="U69" s="34"/>
      <c r="V69" s="126"/>
      <c r="W69" s="34"/>
      <c r="X69" s="34"/>
      <c r="Y69" s="34"/>
      <c r="Z69" s="34"/>
      <c r="AA69" s="127"/>
      <c r="AB69" s="34"/>
      <c r="AC69" s="34"/>
      <c r="AD69" s="34"/>
      <c r="AE69" s="34"/>
      <c r="AF69" s="127"/>
      <c r="AG69" s="34"/>
      <c r="AH69" s="34"/>
      <c r="AI69" s="34"/>
      <c r="AJ69" s="34"/>
      <c r="AK69" s="126"/>
      <c r="AL69" s="34"/>
      <c r="AM69" s="34"/>
      <c r="AN69" s="34"/>
      <c r="AO69" s="34"/>
      <c r="AP69" s="127"/>
      <c r="AQ69" s="34"/>
      <c r="AR69" s="34"/>
      <c r="AS69" s="34"/>
      <c r="AT69" s="34"/>
      <c r="AU69" s="127"/>
      <c r="AV69" s="34"/>
      <c r="AW69" s="34"/>
      <c r="AX69" s="34"/>
      <c r="AY69" s="34"/>
      <c r="AZ69" s="126"/>
      <c r="BA69" s="34"/>
      <c r="BB69" s="34"/>
      <c r="BC69" s="34"/>
      <c r="BD69" s="34"/>
      <c r="BE69" s="127"/>
      <c r="BF69" s="34"/>
      <c r="BG69" s="34"/>
      <c r="BH69" s="34"/>
      <c r="BI69" s="34"/>
      <c r="BJ69" s="127"/>
      <c r="BK69" s="34"/>
      <c r="BL69" s="34"/>
      <c r="BM69" s="34"/>
      <c r="BN69" s="34"/>
      <c r="BO69" s="126"/>
      <c r="BP69" s="34"/>
      <c r="BQ69" s="34"/>
      <c r="BR69" s="34"/>
      <c r="BS69" s="34"/>
      <c r="BT69" s="127"/>
      <c r="BU69" s="34"/>
      <c r="BV69" s="34"/>
      <c r="BW69" s="34"/>
      <c r="BX69" s="34"/>
      <c r="BY69" s="127"/>
      <c r="BZ69" s="34"/>
      <c r="CA69" s="34"/>
      <c r="CB69" s="34"/>
      <c r="CC69" s="34"/>
      <c r="CD69" s="126"/>
      <c r="CE69" s="34"/>
      <c r="CF69" s="34"/>
      <c r="CG69" s="34"/>
      <c r="CH69" s="34"/>
      <c r="CI69" s="127"/>
      <c r="CJ69" s="34"/>
      <c r="CK69" s="34"/>
      <c r="CL69" s="34"/>
      <c r="CM69" s="34"/>
      <c r="CN69" s="127"/>
      <c r="CO69" s="34"/>
      <c r="CP69" s="34"/>
      <c r="CQ69" s="34"/>
      <c r="CR69" s="34"/>
      <c r="CS69" s="126"/>
      <c r="CT69" s="34"/>
      <c r="CU69" s="34"/>
      <c r="CV69" s="34"/>
      <c r="CW69" s="34"/>
      <c r="CX69" s="127"/>
      <c r="CY69" s="34"/>
      <c r="CZ69" s="34"/>
      <c r="DA69" s="34"/>
      <c r="DB69" s="35"/>
    </row>
    <row r="70" spans="1:106" ht="12.75">
      <c r="A70" s="1">
        <v>62</v>
      </c>
      <c r="B70" s="130"/>
      <c r="C70" s="34"/>
      <c r="D70" s="126"/>
      <c r="E70" s="34"/>
      <c r="F70" s="34"/>
      <c r="G70" s="34"/>
      <c r="H70" s="34"/>
      <c r="I70" s="127"/>
      <c r="J70" s="34"/>
      <c r="K70" s="34"/>
      <c r="L70" s="34"/>
      <c r="M70" s="34"/>
      <c r="N70" s="127"/>
      <c r="O70" s="34"/>
      <c r="P70" s="34"/>
      <c r="Q70" s="34"/>
      <c r="R70" s="34"/>
      <c r="S70" s="126"/>
      <c r="T70" s="34"/>
      <c r="U70" s="34"/>
      <c r="V70" s="34"/>
      <c r="W70" s="34"/>
      <c r="X70" s="127"/>
      <c r="Y70" s="34"/>
      <c r="Z70" s="34"/>
      <c r="AA70" s="34"/>
      <c r="AB70" s="34"/>
      <c r="AC70" s="127"/>
      <c r="AD70" s="34"/>
      <c r="AE70" s="34"/>
      <c r="AF70" s="34"/>
      <c r="AG70" s="34"/>
      <c r="AH70" s="126"/>
      <c r="AI70" s="34"/>
      <c r="AJ70" s="34"/>
      <c r="AK70" s="34"/>
      <c r="AL70" s="34"/>
      <c r="AM70" s="127"/>
      <c r="AN70" s="34"/>
      <c r="AO70" s="34"/>
      <c r="AP70" s="34"/>
      <c r="AQ70" s="34"/>
      <c r="AR70" s="127"/>
      <c r="AS70" s="34"/>
      <c r="AT70" s="34"/>
      <c r="AU70" s="34"/>
      <c r="AV70" s="34"/>
      <c r="AW70" s="126"/>
      <c r="AX70" s="34"/>
      <c r="AY70" s="34"/>
      <c r="AZ70" s="34"/>
      <c r="BA70" s="34"/>
      <c r="BB70" s="127"/>
      <c r="BC70" s="34"/>
      <c r="BD70" s="34"/>
      <c r="BE70" s="34"/>
      <c r="BF70" s="34"/>
      <c r="BG70" s="127"/>
      <c r="BH70" s="34"/>
      <c r="BI70" s="34"/>
      <c r="BJ70" s="34"/>
      <c r="BK70" s="34"/>
      <c r="BL70" s="126"/>
      <c r="BM70" s="34"/>
      <c r="BN70" s="34"/>
      <c r="BO70" s="34"/>
      <c r="BP70" s="34"/>
      <c r="BQ70" s="127"/>
      <c r="BR70" s="34"/>
      <c r="BS70" s="34"/>
      <c r="BT70" s="34"/>
      <c r="BU70" s="34"/>
      <c r="BV70" s="127"/>
      <c r="BW70" s="34"/>
      <c r="BX70" s="34"/>
      <c r="BY70" s="34"/>
      <c r="BZ70" s="34"/>
      <c r="CA70" s="126"/>
      <c r="CB70" s="34"/>
      <c r="CC70" s="34"/>
      <c r="CD70" s="34"/>
      <c r="CE70" s="34"/>
      <c r="CF70" s="127"/>
      <c r="CG70" s="34"/>
      <c r="CH70" s="34"/>
      <c r="CI70" s="34"/>
      <c r="CJ70" s="34"/>
      <c r="CK70" s="127"/>
      <c r="CL70" s="34"/>
      <c r="CM70" s="34"/>
      <c r="CN70" s="34"/>
      <c r="CO70" s="34"/>
      <c r="CP70" s="126"/>
      <c r="CQ70" s="34"/>
      <c r="CR70" s="34"/>
      <c r="CS70" s="34"/>
      <c r="CT70" s="34"/>
      <c r="CU70" s="127"/>
      <c r="CV70" s="34"/>
      <c r="CW70" s="34"/>
      <c r="CX70" s="34"/>
      <c r="CY70" s="34"/>
      <c r="CZ70" s="127"/>
      <c r="DA70" s="34"/>
      <c r="DB70" s="35"/>
    </row>
    <row r="71" spans="1:106" ht="12.75">
      <c r="A71" s="1">
        <v>63</v>
      </c>
      <c r="B71" s="129"/>
      <c r="C71" s="34"/>
      <c r="D71" s="34"/>
      <c r="E71" s="34"/>
      <c r="F71" s="34"/>
      <c r="G71" s="126"/>
      <c r="H71" s="34"/>
      <c r="I71" s="34"/>
      <c r="J71" s="34"/>
      <c r="K71" s="34"/>
      <c r="L71" s="127"/>
      <c r="M71" s="34"/>
      <c r="N71" s="34"/>
      <c r="O71" s="34"/>
      <c r="P71" s="34"/>
      <c r="Q71" s="127"/>
      <c r="R71" s="34"/>
      <c r="S71" s="34"/>
      <c r="T71" s="34"/>
      <c r="U71" s="34"/>
      <c r="V71" s="126"/>
      <c r="W71" s="34"/>
      <c r="X71" s="34"/>
      <c r="Y71" s="34"/>
      <c r="Z71" s="34"/>
      <c r="AA71" s="127"/>
      <c r="AB71" s="34"/>
      <c r="AC71" s="34"/>
      <c r="AD71" s="34"/>
      <c r="AE71" s="34"/>
      <c r="AF71" s="127"/>
      <c r="AG71" s="34"/>
      <c r="AH71" s="34"/>
      <c r="AI71" s="34"/>
      <c r="AJ71" s="34"/>
      <c r="AK71" s="126"/>
      <c r="AL71" s="34"/>
      <c r="AM71" s="34"/>
      <c r="AN71" s="34"/>
      <c r="AO71" s="34"/>
      <c r="AP71" s="127"/>
      <c r="AQ71" s="34"/>
      <c r="AR71" s="34"/>
      <c r="AS71" s="34"/>
      <c r="AT71" s="34"/>
      <c r="AU71" s="127"/>
      <c r="AV71" s="34"/>
      <c r="AW71" s="34"/>
      <c r="AX71" s="34"/>
      <c r="AY71" s="34"/>
      <c r="AZ71" s="126"/>
      <c r="BA71" s="34"/>
      <c r="BB71" s="34"/>
      <c r="BC71" s="34"/>
      <c r="BD71" s="34"/>
      <c r="BE71" s="127"/>
      <c r="BF71" s="34"/>
      <c r="BG71" s="34"/>
      <c r="BH71" s="34"/>
      <c r="BI71" s="34"/>
      <c r="BJ71" s="127"/>
      <c r="BK71" s="34"/>
      <c r="BL71" s="34"/>
      <c r="BM71" s="34"/>
      <c r="BN71" s="34"/>
      <c r="BO71" s="126"/>
      <c r="BP71" s="34"/>
      <c r="BQ71" s="34"/>
      <c r="BR71" s="34"/>
      <c r="BS71" s="34"/>
      <c r="BT71" s="127"/>
      <c r="BU71" s="34"/>
      <c r="BV71" s="34"/>
      <c r="BW71" s="34"/>
      <c r="BX71" s="34"/>
      <c r="BY71" s="127"/>
      <c r="BZ71" s="34"/>
      <c r="CA71" s="34"/>
      <c r="CB71" s="34"/>
      <c r="CC71" s="34"/>
      <c r="CD71" s="126"/>
      <c r="CE71" s="34"/>
      <c r="CF71" s="34"/>
      <c r="CG71" s="34"/>
      <c r="CH71" s="34"/>
      <c r="CI71" s="127"/>
      <c r="CJ71" s="34"/>
      <c r="CK71" s="34"/>
      <c r="CL71" s="34"/>
      <c r="CM71" s="34"/>
      <c r="CN71" s="127"/>
      <c r="CO71" s="34"/>
      <c r="CP71" s="34"/>
      <c r="CQ71" s="34"/>
      <c r="CR71" s="34"/>
      <c r="CS71" s="126"/>
      <c r="CT71" s="34"/>
      <c r="CU71" s="34"/>
      <c r="CV71" s="34"/>
      <c r="CW71" s="34"/>
      <c r="CX71" s="127"/>
      <c r="CY71" s="34"/>
      <c r="CZ71" s="34"/>
      <c r="DA71" s="34"/>
      <c r="DB71" s="35"/>
    </row>
    <row r="72" spans="1:106" ht="12.75">
      <c r="A72" s="1">
        <v>64</v>
      </c>
      <c r="B72" s="130"/>
      <c r="C72" s="34"/>
      <c r="D72" s="126"/>
      <c r="E72" s="34"/>
      <c r="F72" s="34"/>
      <c r="G72" s="34"/>
      <c r="H72" s="34"/>
      <c r="I72" s="127"/>
      <c r="J72" s="34"/>
      <c r="K72" s="34"/>
      <c r="L72" s="34"/>
      <c r="M72" s="34"/>
      <c r="N72" s="127"/>
      <c r="O72" s="34"/>
      <c r="P72" s="34"/>
      <c r="Q72" s="34"/>
      <c r="R72" s="34"/>
      <c r="S72" s="126"/>
      <c r="T72" s="34"/>
      <c r="U72" s="34"/>
      <c r="V72" s="34"/>
      <c r="W72" s="34"/>
      <c r="X72" s="127"/>
      <c r="Y72" s="34"/>
      <c r="Z72" s="34"/>
      <c r="AA72" s="34"/>
      <c r="AB72" s="34"/>
      <c r="AC72" s="127"/>
      <c r="AD72" s="34"/>
      <c r="AE72" s="34"/>
      <c r="AF72" s="34"/>
      <c r="AG72" s="34"/>
      <c r="AH72" s="126"/>
      <c r="AI72" s="34"/>
      <c r="AJ72" s="34"/>
      <c r="AK72" s="34"/>
      <c r="AL72" s="34"/>
      <c r="AM72" s="127"/>
      <c r="AN72" s="34"/>
      <c r="AO72" s="34"/>
      <c r="AP72" s="34"/>
      <c r="AQ72" s="34"/>
      <c r="AR72" s="127"/>
      <c r="AS72" s="34"/>
      <c r="AT72" s="34"/>
      <c r="AU72" s="34"/>
      <c r="AV72" s="34"/>
      <c r="AW72" s="126"/>
      <c r="AX72" s="34"/>
      <c r="AY72" s="34"/>
      <c r="AZ72" s="34"/>
      <c r="BA72" s="34"/>
      <c r="BB72" s="127"/>
      <c r="BC72" s="34"/>
      <c r="BD72" s="34"/>
      <c r="BE72" s="34"/>
      <c r="BF72" s="34"/>
      <c r="BG72" s="127"/>
      <c r="BH72" s="34"/>
      <c r="BI72" s="34"/>
      <c r="BJ72" s="34"/>
      <c r="BK72" s="34"/>
      <c r="BL72" s="126"/>
      <c r="BM72" s="34"/>
      <c r="BN72" s="34"/>
      <c r="BO72" s="34"/>
      <c r="BP72" s="34"/>
      <c r="BQ72" s="127"/>
      <c r="BR72" s="34"/>
      <c r="BS72" s="34"/>
      <c r="BT72" s="34"/>
      <c r="BU72" s="34"/>
      <c r="BV72" s="127"/>
      <c r="BW72" s="34"/>
      <c r="BX72" s="34"/>
      <c r="BY72" s="34"/>
      <c r="BZ72" s="34"/>
      <c r="CA72" s="126"/>
      <c r="CB72" s="34"/>
      <c r="CC72" s="34"/>
      <c r="CD72" s="34"/>
      <c r="CE72" s="34"/>
      <c r="CF72" s="127"/>
      <c r="CG72" s="34"/>
      <c r="CH72" s="34"/>
      <c r="CI72" s="34"/>
      <c r="CJ72" s="34"/>
      <c r="CK72" s="127"/>
      <c r="CL72" s="34"/>
      <c r="CM72" s="34"/>
      <c r="CN72" s="34"/>
      <c r="CO72" s="34"/>
      <c r="CP72" s="126"/>
      <c r="CQ72" s="34"/>
      <c r="CR72" s="34"/>
      <c r="CS72" s="34"/>
      <c r="CT72" s="34"/>
      <c r="CU72" s="127"/>
      <c r="CV72" s="34"/>
      <c r="CW72" s="34"/>
      <c r="CX72" s="34"/>
      <c r="CY72" s="34"/>
      <c r="CZ72" s="127"/>
      <c r="DA72" s="34"/>
      <c r="DB72" s="35"/>
    </row>
    <row r="73" spans="1:106" ht="12.75">
      <c r="A73" s="1">
        <v>65</v>
      </c>
      <c r="B73" s="129"/>
      <c r="C73" s="34"/>
      <c r="D73" s="34"/>
      <c r="E73" s="34"/>
      <c r="F73" s="34"/>
      <c r="G73" s="126"/>
      <c r="H73" s="34"/>
      <c r="I73" s="34"/>
      <c r="J73" s="34"/>
      <c r="K73" s="34"/>
      <c r="L73" s="127"/>
      <c r="M73" s="34"/>
      <c r="N73" s="34"/>
      <c r="O73" s="34"/>
      <c r="P73" s="34"/>
      <c r="Q73" s="127"/>
      <c r="R73" s="34"/>
      <c r="S73" s="34"/>
      <c r="T73" s="34"/>
      <c r="U73" s="34"/>
      <c r="V73" s="126"/>
      <c r="W73" s="34"/>
      <c r="X73" s="34"/>
      <c r="Y73" s="34"/>
      <c r="Z73" s="34"/>
      <c r="AA73" s="127"/>
      <c r="AB73" s="34"/>
      <c r="AC73" s="34"/>
      <c r="AD73" s="34"/>
      <c r="AE73" s="34"/>
      <c r="AF73" s="127"/>
      <c r="AG73" s="34"/>
      <c r="AH73" s="34"/>
      <c r="AI73" s="34"/>
      <c r="AJ73" s="34"/>
      <c r="AK73" s="126"/>
      <c r="AL73" s="34"/>
      <c r="AM73" s="34"/>
      <c r="AN73" s="34"/>
      <c r="AO73" s="34"/>
      <c r="AP73" s="127"/>
      <c r="AQ73" s="34"/>
      <c r="AR73" s="34"/>
      <c r="AS73" s="34"/>
      <c r="AT73" s="34"/>
      <c r="AU73" s="127"/>
      <c r="AV73" s="34"/>
      <c r="AW73" s="34"/>
      <c r="AX73" s="34"/>
      <c r="AY73" s="34"/>
      <c r="AZ73" s="126"/>
      <c r="BA73" s="34"/>
      <c r="BB73" s="34"/>
      <c r="BC73" s="34"/>
      <c r="BD73" s="34"/>
      <c r="BE73" s="127"/>
      <c r="BF73" s="34"/>
      <c r="BG73" s="34"/>
      <c r="BH73" s="34"/>
      <c r="BI73" s="34"/>
      <c r="BJ73" s="127"/>
      <c r="BK73" s="34"/>
      <c r="BL73" s="34"/>
      <c r="BM73" s="34"/>
      <c r="BN73" s="34"/>
      <c r="BO73" s="126"/>
      <c r="BP73" s="34"/>
      <c r="BQ73" s="34"/>
      <c r="BR73" s="34"/>
      <c r="BS73" s="34"/>
      <c r="BT73" s="127"/>
      <c r="BU73" s="34"/>
      <c r="BV73" s="34"/>
      <c r="BW73" s="34"/>
      <c r="BX73" s="34"/>
      <c r="BY73" s="127"/>
      <c r="BZ73" s="34"/>
      <c r="CA73" s="34"/>
      <c r="CB73" s="34"/>
      <c r="CC73" s="34"/>
      <c r="CD73" s="126"/>
      <c r="CE73" s="34"/>
      <c r="CF73" s="34"/>
      <c r="CG73" s="34"/>
      <c r="CH73" s="34"/>
      <c r="CI73" s="127"/>
      <c r="CJ73" s="34"/>
      <c r="CK73" s="34"/>
      <c r="CL73" s="34"/>
      <c r="CM73" s="34"/>
      <c r="CN73" s="127"/>
      <c r="CO73" s="34"/>
      <c r="CP73" s="34"/>
      <c r="CQ73" s="34"/>
      <c r="CR73" s="34"/>
      <c r="CS73" s="126"/>
      <c r="CT73" s="34"/>
      <c r="CU73" s="34"/>
      <c r="CV73" s="34"/>
      <c r="CW73" s="34"/>
      <c r="CX73" s="127"/>
      <c r="CY73" s="34"/>
      <c r="CZ73" s="34"/>
      <c r="DA73" s="34"/>
      <c r="DB73" s="35"/>
    </row>
    <row r="74" spans="1:106" ht="12.75">
      <c r="A74" s="1">
        <v>66</v>
      </c>
      <c r="B74" s="124"/>
      <c r="C74" s="125"/>
      <c r="D74" s="126"/>
      <c r="E74" s="125"/>
      <c r="F74" s="125"/>
      <c r="G74" s="34"/>
      <c r="H74" s="125"/>
      <c r="I74" s="127"/>
      <c r="J74" s="125"/>
      <c r="K74" s="125"/>
      <c r="L74" s="125"/>
      <c r="M74" s="34"/>
      <c r="N74" s="127"/>
      <c r="O74" s="125"/>
      <c r="P74" s="125"/>
      <c r="Q74" s="125"/>
      <c r="R74" s="125"/>
      <c r="S74" s="126"/>
      <c r="T74" s="125"/>
      <c r="U74" s="125"/>
      <c r="V74" s="34"/>
      <c r="W74" s="125"/>
      <c r="X74" s="127"/>
      <c r="Y74" s="125"/>
      <c r="Z74" s="125"/>
      <c r="AA74" s="125"/>
      <c r="AB74" s="34"/>
      <c r="AC74" s="127"/>
      <c r="AD74" s="125"/>
      <c r="AE74" s="125"/>
      <c r="AF74" s="125"/>
      <c r="AG74" s="125"/>
      <c r="AH74" s="126"/>
      <c r="AI74" s="125"/>
      <c r="AJ74" s="125"/>
      <c r="AK74" s="34"/>
      <c r="AL74" s="125"/>
      <c r="AM74" s="127"/>
      <c r="AN74" s="125"/>
      <c r="AO74" s="125"/>
      <c r="AP74" s="125"/>
      <c r="AQ74" s="34"/>
      <c r="AR74" s="127"/>
      <c r="AS74" s="125"/>
      <c r="AT74" s="125"/>
      <c r="AU74" s="125"/>
      <c r="AV74" s="125"/>
      <c r="AW74" s="126"/>
      <c r="AX74" s="125"/>
      <c r="AY74" s="125"/>
      <c r="AZ74" s="34"/>
      <c r="BA74" s="125"/>
      <c r="BB74" s="127"/>
      <c r="BC74" s="125"/>
      <c r="BD74" s="125"/>
      <c r="BE74" s="125"/>
      <c r="BF74" s="34"/>
      <c r="BG74" s="127"/>
      <c r="BH74" s="125"/>
      <c r="BI74" s="125"/>
      <c r="BJ74" s="125"/>
      <c r="BK74" s="125"/>
      <c r="BL74" s="126"/>
      <c r="BM74" s="125"/>
      <c r="BN74" s="125"/>
      <c r="BO74" s="34"/>
      <c r="BP74" s="125"/>
      <c r="BQ74" s="127"/>
      <c r="BR74" s="125"/>
      <c r="BS74" s="125"/>
      <c r="BT74" s="125"/>
      <c r="BU74" s="34"/>
      <c r="BV74" s="127"/>
      <c r="BW74" s="125"/>
      <c r="BX74" s="125"/>
      <c r="BY74" s="125"/>
      <c r="BZ74" s="125"/>
      <c r="CA74" s="126"/>
      <c r="CB74" s="125"/>
      <c r="CC74" s="125"/>
      <c r="CD74" s="34"/>
      <c r="CE74" s="125"/>
      <c r="CF74" s="127"/>
      <c r="CG74" s="125"/>
      <c r="CH74" s="125"/>
      <c r="CI74" s="125"/>
      <c r="CJ74" s="34"/>
      <c r="CK74" s="127"/>
      <c r="CL74" s="125"/>
      <c r="CM74" s="125"/>
      <c r="CN74" s="125"/>
      <c r="CO74" s="125"/>
      <c r="CP74" s="126"/>
      <c r="CQ74" s="125"/>
      <c r="CR74" s="125"/>
      <c r="CS74" s="34"/>
      <c r="CT74" s="125"/>
      <c r="CU74" s="127"/>
      <c r="CV74" s="125"/>
      <c r="CW74" s="125"/>
      <c r="CX74" s="125"/>
      <c r="CY74" s="34"/>
      <c r="CZ74" s="127"/>
      <c r="DA74" s="125"/>
      <c r="DB74" s="128"/>
    </row>
    <row r="75" spans="1:106" ht="12.75">
      <c r="A75" s="1">
        <v>67</v>
      </c>
      <c r="B75" s="129"/>
      <c r="C75" s="34"/>
      <c r="D75" s="34"/>
      <c r="E75" s="34"/>
      <c r="F75" s="34"/>
      <c r="G75" s="126"/>
      <c r="H75" s="34"/>
      <c r="I75" s="125"/>
      <c r="J75" s="34"/>
      <c r="K75" s="34"/>
      <c r="L75" s="127"/>
      <c r="M75" s="34"/>
      <c r="N75" s="125"/>
      <c r="O75" s="34"/>
      <c r="P75" s="34"/>
      <c r="Q75" s="127"/>
      <c r="R75" s="34"/>
      <c r="S75" s="34"/>
      <c r="T75" s="34"/>
      <c r="U75" s="34"/>
      <c r="V75" s="126"/>
      <c r="W75" s="34"/>
      <c r="X75" s="125"/>
      <c r="Y75" s="34"/>
      <c r="Z75" s="34"/>
      <c r="AA75" s="127"/>
      <c r="AB75" s="34"/>
      <c r="AC75" s="125"/>
      <c r="AD75" s="34"/>
      <c r="AE75" s="34"/>
      <c r="AF75" s="127"/>
      <c r="AG75" s="34"/>
      <c r="AH75" s="34"/>
      <c r="AI75" s="34"/>
      <c r="AJ75" s="34"/>
      <c r="AK75" s="126"/>
      <c r="AL75" s="34"/>
      <c r="AM75" s="125"/>
      <c r="AN75" s="34"/>
      <c r="AO75" s="34"/>
      <c r="AP75" s="127"/>
      <c r="AQ75" s="34"/>
      <c r="AR75" s="125"/>
      <c r="AS75" s="34"/>
      <c r="AT75" s="34"/>
      <c r="AU75" s="127"/>
      <c r="AV75" s="34"/>
      <c r="AW75" s="34"/>
      <c r="AX75" s="34"/>
      <c r="AY75" s="34"/>
      <c r="AZ75" s="126"/>
      <c r="BA75" s="34"/>
      <c r="BB75" s="125"/>
      <c r="BC75" s="34"/>
      <c r="BD75" s="34"/>
      <c r="BE75" s="127"/>
      <c r="BF75" s="34"/>
      <c r="BG75" s="125"/>
      <c r="BH75" s="34"/>
      <c r="BI75" s="34"/>
      <c r="BJ75" s="127"/>
      <c r="BK75" s="34"/>
      <c r="BL75" s="34"/>
      <c r="BM75" s="34"/>
      <c r="BN75" s="34"/>
      <c r="BO75" s="126"/>
      <c r="BP75" s="34"/>
      <c r="BQ75" s="125"/>
      <c r="BR75" s="34"/>
      <c r="BS75" s="34"/>
      <c r="BT75" s="127"/>
      <c r="BU75" s="34"/>
      <c r="BV75" s="125"/>
      <c r="BW75" s="34"/>
      <c r="BX75" s="34"/>
      <c r="BY75" s="127"/>
      <c r="BZ75" s="34"/>
      <c r="CA75" s="34"/>
      <c r="CB75" s="34"/>
      <c r="CC75" s="34"/>
      <c r="CD75" s="126"/>
      <c r="CE75" s="34"/>
      <c r="CF75" s="125"/>
      <c r="CG75" s="34"/>
      <c r="CH75" s="34"/>
      <c r="CI75" s="127"/>
      <c r="CJ75" s="34"/>
      <c r="CK75" s="125"/>
      <c r="CL75" s="34"/>
      <c r="CM75" s="34"/>
      <c r="CN75" s="127"/>
      <c r="CO75" s="34"/>
      <c r="CP75" s="34"/>
      <c r="CQ75" s="34"/>
      <c r="CR75" s="34"/>
      <c r="CS75" s="126"/>
      <c r="CT75" s="34"/>
      <c r="CU75" s="125"/>
      <c r="CV75" s="34"/>
      <c r="CW75" s="34"/>
      <c r="CX75" s="127"/>
      <c r="CY75" s="34"/>
      <c r="CZ75" s="125"/>
      <c r="DA75" s="34"/>
      <c r="DB75" s="35"/>
    </row>
    <row r="76" spans="1:106" ht="12.75">
      <c r="A76" s="1">
        <v>68</v>
      </c>
      <c r="B76" s="130"/>
      <c r="C76" s="34"/>
      <c r="D76" s="126"/>
      <c r="E76" s="34"/>
      <c r="F76" s="34"/>
      <c r="G76" s="34"/>
      <c r="H76" s="34"/>
      <c r="I76" s="127"/>
      <c r="J76" s="34"/>
      <c r="K76" s="34"/>
      <c r="L76" s="34"/>
      <c r="M76" s="34"/>
      <c r="N76" s="127"/>
      <c r="O76" s="34"/>
      <c r="P76" s="34"/>
      <c r="Q76" s="34"/>
      <c r="R76" s="34"/>
      <c r="S76" s="126"/>
      <c r="T76" s="34"/>
      <c r="U76" s="34"/>
      <c r="V76" s="34"/>
      <c r="W76" s="34"/>
      <c r="X76" s="127"/>
      <c r="Y76" s="34"/>
      <c r="Z76" s="34"/>
      <c r="AA76" s="34"/>
      <c r="AB76" s="34"/>
      <c r="AC76" s="127"/>
      <c r="AD76" s="34"/>
      <c r="AE76" s="34"/>
      <c r="AF76" s="34"/>
      <c r="AG76" s="34"/>
      <c r="AH76" s="126"/>
      <c r="AI76" s="34"/>
      <c r="AJ76" s="34"/>
      <c r="AK76" s="34"/>
      <c r="AL76" s="34"/>
      <c r="AM76" s="127"/>
      <c r="AN76" s="34"/>
      <c r="AO76" s="34"/>
      <c r="AP76" s="34"/>
      <c r="AQ76" s="34"/>
      <c r="AR76" s="127"/>
      <c r="AS76" s="34"/>
      <c r="AT76" s="34"/>
      <c r="AU76" s="34"/>
      <c r="AV76" s="34"/>
      <c r="AW76" s="126"/>
      <c r="AX76" s="34"/>
      <c r="AY76" s="34"/>
      <c r="AZ76" s="34"/>
      <c r="BA76" s="34"/>
      <c r="BB76" s="127"/>
      <c r="BC76" s="34"/>
      <c r="BD76" s="34"/>
      <c r="BE76" s="34"/>
      <c r="BF76" s="34"/>
      <c r="BG76" s="127"/>
      <c r="BH76" s="34"/>
      <c r="BI76" s="34"/>
      <c r="BJ76" s="34"/>
      <c r="BK76" s="34"/>
      <c r="BL76" s="126"/>
      <c r="BM76" s="34"/>
      <c r="BN76" s="34"/>
      <c r="BO76" s="34"/>
      <c r="BP76" s="34"/>
      <c r="BQ76" s="127"/>
      <c r="BR76" s="34"/>
      <c r="BS76" s="34"/>
      <c r="BT76" s="34"/>
      <c r="BU76" s="34"/>
      <c r="BV76" s="127"/>
      <c r="BW76" s="34"/>
      <c r="BX76" s="34"/>
      <c r="BY76" s="34"/>
      <c r="BZ76" s="34"/>
      <c r="CA76" s="126"/>
      <c r="CB76" s="34"/>
      <c r="CC76" s="34"/>
      <c r="CD76" s="34"/>
      <c r="CE76" s="34"/>
      <c r="CF76" s="127"/>
      <c r="CG76" s="34"/>
      <c r="CH76" s="34"/>
      <c r="CI76" s="34"/>
      <c r="CJ76" s="34"/>
      <c r="CK76" s="127"/>
      <c r="CL76" s="34"/>
      <c r="CM76" s="34"/>
      <c r="CN76" s="34"/>
      <c r="CO76" s="34"/>
      <c r="CP76" s="126"/>
      <c r="CQ76" s="34"/>
      <c r="CR76" s="34"/>
      <c r="CS76" s="34"/>
      <c r="CT76" s="34"/>
      <c r="CU76" s="127"/>
      <c r="CV76" s="34"/>
      <c r="CW76" s="34"/>
      <c r="CX76" s="34"/>
      <c r="CY76" s="34"/>
      <c r="CZ76" s="127"/>
      <c r="DA76" s="34"/>
      <c r="DB76" s="35"/>
    </row>
    <row r="77" spans="1:106" ht="12.75">
      <c r="A77" s="1">
        <v>69</v>
      </c>
      <c r="B77" s="129"/>
      <c r="C77" s="34"/>
      <c r="D77" s="34"/>
      <c r="E77" s="34"/>
      <c r="F77" s="34"/>
      <c r="G77" s="126"/>
      <c r="H77" s="34"/>
      <c r="I77" s="34"/>
      <c r="J77" s="34"/>
      <c r="K77" s="34"/>
      <c r="L77" s="127"/>
      <c r="M77" s="34"/>
      <c r="N77" s="34"/>
      <c r="O77" s="34"/>
      <c r="P77" s="34"/>
      <c r="Q77" s="127"/>
      <c r="R77" s="34"/>
      <c r="S77" s="34"/>
      <c r="T77" s="34"/>
      <c r="U77" s="34"/>
      <c r="V77" s="126"/>
      <c r="W77" s="34"/>
      <c r="X77" s="34"/>
      <c r="Y77" s="34"/>
      <c r="Z77" s="34"/>
      <c r="AA77" s="127"/>
      <c r="AB77" s="34"/>
      <c r="AC77" s="34"/>
      <c r="AD77" s="34"/>
      <c r="AE77" s="34"/>
      <c r="AF77" s="127"/>
      <c r="AG77" s="34"/>
      <c r="AH77" s="34"/>
      <c r="AI77" s="34"/>
      <c r="AJ77" s="34"/>
      <c r="AK77" s="126"/>
      <c r="AL77" s="34"/>
      <c r="AM77" s="34"/>
      <c r="AN77" s="34"/>
      <c r="AO77" s="34"/>
      <c r="AP77" s="127"/>
      <c r="AQ77" s="34"/>
      <c r="AR77" s="34"/>
      <c r="AS77" s="34"/>
      <c r="AT77" s="34"/>
      <c r="AU77" s="127"/>
      <c r="AV77" s="34"/>
      <c r="AW77" s="34"/>
      <c r="AX77" s="34"/>
      <c r="AY77" s="34"/>
      <c r="AZ77" s="126"/>
      <c r="BA77" s="34"/>
      <c r="BB77" s="34"/>
      <c r="BC77" s="34"/>
      <c r="BD77" s="34"/>
      <c r="BE77" s="127"/>
      <c r="BF77" s="34"/>
      <c r="BG77" s="34"/>
      <c r="BH77" s="34"/>
      <c r="BI77" s="34"/>
      <c r="BJ77" s="127"/>
      <c r="BK77" s="34"/>
      <c r="BL77" s="34"/>
      <c r="BM77" s="34"/>
      <c r="BN77" s="34"/>
      <c r="BO77" s="126"/>
      <c r="BP77" s="34"/>
      <c r="BQ77" s="34"/>
      <c r="BR77" s="34"/>
      <c r="BS77" s="34"/>
      <c r="BT77" s="127"/>
      <c r="BU77" s="34"/>
      <c r="BV77" s="34"/>
      <c r="BW77" s="34"/>
      <c r="BX77" s="34"/>
      <c r="BY77" s="127"/>
      <c r="BZ77" s="34"/>
      <c r="CA77" s="34"/>
      <c r="CB77" s="34"/>
      <c r="CC77" s="34"/>
      <c r="CD77" s="126"/>
      <c r="CE77" s="34"/>
      <c r="CF77" s="34"/>
      <c r="CG77" s="34"/>
      <c r="CH77" s="34"/>
      <c r="CI77" s="127"/>
      <c r="CJ77" s="34"/>
      <c r="CK77" s="34"/>
      <c r="CL77" s="34"/>
      <c r="CM77" s="34"/>
      <c r="CN77" s="127"/>
      <c r="CO77" s="34"/>
      <c r="CP77" s="34"/>
      <c r="CQ77" s="34"/>
      <c r="CR77" s="34"/>
      <c r="CS77" s="126"/>
      <c r="CT77" s="34"/>
      <c r="CU77" s="34"/>
      <c r="CV77" s="34"/>
      <c r="CW77" s="34"/>
      <c r="CX77" s="127"/>
      <c r="CY77" s="34"/>
      <c r="CZ77" s="34"/>
      <c r="DA77" s="34"/>
      <c r="DB77" s="35"/>
    </row>
    <row r="78" spans="1:106" ht="12.75">
      <c r="A78" s="1">
        <v>70</v>
      </c>
      <c r="B78" s="130"/>
      <c r="C78" s="34"/>
      <c r="D78" s="126"/>
      <c r="E78" s="34"/>
      <c r="F78" s="34"/>
      <c r="G78" s="34"/>
      <c r="H78" s="34"/>
      <c r="I78" s="127"/>
      <c r="J78" s="34"/>
      <c r="K78" s="34"/>
      <c r="L78" s="34"/>
      <c r="M78" s="34"/>
      <c r="N78" s="127"/>
      <c r="O78" s="34"/>
      <c r="P78" s="34"/>
      <c r="Q78" s="34"/>
      <c r="R78" s="34"/>
      <c r="S78" s="126"/>
      <c r="T78" s="34"/>
      <c r="U78" s="34"/>
      <c r="V78" s="34"/>
      <c r="W78" s="34"/>
      <c r="X78" s="127"/>
      <c r="Y78" s="34"/>
      <c r="Z78" s="34"/>
      <c r="AA78" s="34"/>
      <c r="AB78" s="34"/>
      <c r="AC78" s="127"/>
      <c r="AD78" s="34"/>
      <c r="AE78" s="34"/>
      <c r="AF78" s="34"/>
      <c r="AG78" s="34"/>
      <c r="AH78" s="126"/>
      <c r="AI78" s="34"/>
      <c r="AJ78" s="34"/>
      <c r="AK78" s="34"/>
      <c r="AL78" s="34"/>
      <c r="AM78" s="127"/>
      <c r="AN78" s="34"/>
      <c r="AO78" s="34"/>
      <c r="AP78" s="34"/>
      <c r="AQ78" s="34"/>
      <c r="AR78" s="127"/>
      <c r="AS78" s="34"/>
      <c r="AT78" s="34"/>
      <c r="AU78" s="34"/>
      <c r="AV78" s="34"/>
      <c r="AW78" s="126"/>
      <c r="AX78" s="34"/>
      <c r="AY78" s="34"/>
      <c r="AZ78" s="34"/>
      <c r="BA78" s="34"/>
      <c r="BB78" s="127"/>
      <c r="BC78" s="34"/>
      <c r="BD78" s="34"/>
      <c r="BE78" s="34"/>
      <c r="BF78" s="34"/>
      <c r="BG78" s="127"/>
      <c r="BH78" s="34"/>
      <c r="BI78" s="34"/>
      <c r="BJ78" s="34"/>
      <c r="BK78" s="34"/>
      <c r="BL78" s="126"/>
      <c r="BM78" s="34"/>
      <c r="BN78" s="34"/>
      <c r="BO78" s="34"/>
      <c r="BP78" s="34"/>
      <c r="BQ78" s="127"/>
      <c r="BR78" s="34"/>
      <c r="BS78" s="34"/>
      <c r="BT78" s="34"/>
      <c r="BU78" s="34"/>
      <c r="BV78" s="127"/>
      <c r="BW78" s="34"/>
      <c r="BX78" s="34"/>
      <c r="BY78" s="34"/>
      <c r="BZ78" s="34"/>
      <c r="CA78" s="126"/>
      <c r="CB78" s="34"/>
      <c r="CC78" s="34"/>
      <c r="CD78" s="34"/>
      <c r="CE78" s="34"/>
      <c r="CF78" s="127"/>
      <c r="CG78" s="34"/>
      <c r="CH78" s="34"/>
      <c r="CI78" s="34"/>
      <c r="CJ78" s="34"/>
      <c r="CK78" s="127"/>
      <c r="CL78" s="34"/>
      <c r="CM78" s="34"/>
      <c r="CN78" s="34"/>
      <c r="CO78" s="34"/>
      <c r="CP78" s="126"/>
      <c r="CQ78" s="34"/>
      <c r="CR78" s="34"/>
      <c r="CS78" s="34"/>
      <c r="CT78" s="34"/>
      <c r="CU78" s="127"/>
      <c r="CV78" s="34"/>
      <c r="CW78" s="34"/>
      <c r="CX78" s="34"/>
      <c r="CY78" s="34"/>
      <c r="CZ78" s="127"/>
      <c r="DA78" s="34"/>
      <c r="DB78" s="35"/>
    </row>
    <row r="79" spans="1:106" ht="12.75">
      <c r="A79" s="1">
        <v>71</v>
      </c>
      <c r="B79" s="129"/>
      <c r="C79" s="34"/>
      <c r="D79" s="34"/>
      <c r="E79" s="34"/>
      <c r="F79" s="34"/>
      <c r="G79" s="126"/>
      <c r="H79" s="34"/>
      <c r="I79" s="34"/>
      <c r="J79" s="34"/>
      <c r="K79" s="34"/>
      <c r="L79" s="127"/>
      <c r="M79" s="34"/>
      <c r="N79" s="34"/>
      <c r="O79" s="34"/>
      <c r="P79" s="34"/>
      <c r="Q79" s="127"/>
      <c r="R79" s="34"/>
      <c r="S79" s="34"/>
      <c r="T79" s="34"/>
      <c r="U79" s="34"/>
      <c r="V79" s="126"/>
      <c r="W79" s="34"/>
      <c r="X79" s="34"/>
      <c r="Y79" s="34"/>
      <c r="Z79" s="34"/>
      <c r="AA79" s="127"/>
      <c r="AB79" s="34"/>
      <c r="AC79" s="34"/>
      <c r="AD79" s="34"/>
      <c r="AE79" s="34"/>
      <c r="AF79" s="127"/>
      <c r="AG79" s="34"/>
      <c r="AH79" s="34"/>
      <c r="AI79" s="34"/>
      <c r="AJ79" s="34"/>
      <c r="AK79" s="126"/>
      <c r="AL79" s="34"/>
      <c r="AM79" s="34"/>
      <c r="AN79" s="34"/>
      <c r="AO79" s="34"/>
      <c r="AP79" s="127"/>
      <c r="AQ79" s="34"/>
      <c r="AR79" s="34"/>
      <c r="AS79" s="34"/>
      <c r="AT79" s="34"/>
      <c r="AU79" s="127"/>
      <c r="AV79" s="34"/>
      <c r="AW79" s="34"/>
      <c r="AX79" s="34"/>
      <c r="AY79" s="34"/>
      <c r="AZ79" s="126"/>
      <c r="BA79" s="34"/>
      <c r="BB79" s="34"/>
      <c r="BC79" s="34"/>
      <c r="BD79" s="34"/>
      <c r="BE79" s="127"/>
      <c r="BF79" s="34"/>
      <c r="BG79" s="34"/>
      <c r="BH79" s="34"/>
      <c r="BI79" s="34"/>
      <c r="BJ79" s="127"/>
      <c r="BK79" s="34"/>
      <c r="BL79" s="34"/>
      <c r="BM79" s="34"/>
      <c r="BN79" s="34"/>
      <c r="BO79" s="126"/>
      <c r="BP79" s="34"/>
      <c r="BQ79" s="34"/>
      <c r="BR79" s="34"/>
      <c r="BS79" s="34"/>
      <c r="BT79" s="127"/>
      <c r="BU79" s="34"/>
      <c r="BV79" s="34"/>
      <c r="BW79" s="34"/>
      <c r="BX79" s="34"/>
      <c r="BY79" s="127"/>
      <c r="BZ79" s="34"/>
      <c r="CA79" s="34"/>
      <c r="CB79" s="34"/>
      <c r="CC79" s="34"/>
      <c r="CD79" s="126"/>
      <c r="CE79" s="34"/>
      <c r="CF79" s="34"/>
      <c r="CG79" s="34"/>
      <c r="CH79" s="34"/>
      <c r="CI79" s="127"/>
      <c r="CJ79" s="34"/>
      <c r="CK79" s="34"/>
      <c r="CL79" s="34"/>
      <c r="CM79" s="34"/>
      <c r="CN79" s="127"/>
      <c r="CO79" s="34"/>
      <c r="CP79" s="34"/>
      <c r="CQ79" s="34"/>
      <c r="CR79" s="34"/>
      <c r="CS79" s="126"/>
      <c r="CT79" s="34"/>
      <c r="CU79" s="34"/>
      <c r="CV79" s="34"/>
      <c r="CW79" s="34"/>
      <c r="CX79" s="127"/>
      <c r="CY79" s="34"/>
      <c r="CZ79" s="34"/>
      <c r="DA79" s="34"/>
      <c r="DB79" s="35"/>
    </row>
    <row r="80" spans="1:106" ht="12.75">
      <c r="A80" s="1">
        <v>72</v>
      </c>
      <c r="B80" s="130"/>
      <c r="C80" s="34"/>
      <c r="D80" s="126"/>
      <c r="E80" s="34"/>
      <c r="F80" s="34"/>
      <c r="G80" s="34"/>
      <c r="H80" s="34"/>
      <c r="I80" s="127"/>
      <c r="J80" s="34"/>
      <c r="K80" s="34"/>
      <c r="L80" s="34"/>
      <c r="M80" s="34"/>
      <c r="N80" s="127"/>
      <c r="O80" s="34"/>
      <c r="P80" s="34"/>
      <c r="Q80" s="34"/>
      <c r="R80" s="34"/>
      <c r="S80" s="126"/>
      <c r="T80" s="34"/>
      <c r="U80" s="34"/>
      <c r="V80" s="34"/>
      <c r="W80" s="34"/>
      <c r="X80" s="127"/>
      <c r="Y80" s="34"/>
      <c r="Z80" s="34"/>
      <c r="AA80" s="34"/>
      <c r="AB80" s="34"/>
      <c r="AC80" s="127"/>
      <c r="AD80" s="34"/>
      <c r="AE80" s="34"/>
      <c r="AF80" s="34"/>
      <c r="AG80" s="34"/>
      <c r="AH80" s="126"/>
      <c r="AI80" s="34"/>
      <c r="AJ80" s="34"/>
      <c r="AK80" s="34"/>
      <c r="AL80" s="34"/>
      <c r="AM80" s="127"/>
      <c r="AN80" s="34"/>
      <c r="AO80" s="34"/>
      <c r="AP80" s="34"/>
      <c r="AQ80" s="34"/>
      <c r="AR80" s="127"/>
      <c r="AS80" s="34"/>
      <c r="AT80" s="34"/>
      <c r="AU80" s="34"/>
      <c r="AV80" s="34"/>
      <c r="AW80" s="126"/>
      <c r="AX80" s="34"/>
      <c r="AY80" s="34"/>
      <c r="AZ80" s="34"/>
      <c r="BA80" s="34"/>
      <c r="BB80" s="127"/>
      <c r="BC80" s="34"/>
      <c r="BD80" s="34"/>
      <c r="BE80" s="34"/>
      <c r="BF80" s="34"/>
      <c r="BG80" s="127"/>
      <c r="BH80" s="34"/>
      <c r="BI80" s="34"/>
      <c r="BJ80" s="34"/>
      <c r="BK80" s="34"/>
      <c r="BL80" s="126"/>
      <c r="BM80" s="34"/>
      <c r="BN80" s="34"/>
      <c r="BO80" s="34"/>
      <c r="BP80" s="34"/>
      <c r="BQ80" s="127"/>
      <c r="BR80" s="34"/>
      <c r="BS80" s="34"/>
      <c r="BT80" s="34"/>
      <c r="BU80" s="34"/>
      <c r="BV80" s="127"/>
      <c r="BW80" s="34"/>
      <c r="BX80" s="34"/>
      <c r="BY80" s="34"/>
      <c r="BZ80" s="34"/>
      <c r="CA80" s="126"/>
      <c r="CB80" s="34"/>
      <c r="CC80" s="34"/>
      <c r="CD80" s="34"/>
      <c r="CE80" s="34"/>
      <c r="CF80" s="127"/>
      <c r="CG80" s="34"/>
      <c r="CH80" s="34"/>
      <c r="CI80" s="34"/>
      <c r="CJ80" s="34"/>
      <c r="CK80" s="127"/>
      <c r="CL80" s="34"/>
      <c r="CM80" s="34"/>
      <c r="CN80" s="34"/>
      <c r="CO80" s="34"/>
      <c r="CP80" s="126"/>
      <c r="CQ80" s="34"/>
      <c r="CR80" s="34"/>
      <c r="CS80" s="34"/>
      <c r="CT80" s="34"/>
      <c r="CU80" s="127"/>
      <c r="CV80" s="34"/>
      <c r="CW80" s="34"/>
      <c r="CX80" s="34"/>
      <c r="CY80" s="34"/>
      <c r="CZ80" s="127"/>
      <c r="DA80" s="34"/>
      <c r="DB80" s="35"/>
    </row>
    <row r="81" spans="1:106" ht="12.75">
      <c r="A81" s="1">
        <v>73</v>
      </c>
      <c r="B81" s="129"/>
      <c r="C81" s="34"/>
      <c r="D81" s="34"/>
      <c r="E81" s="34"/>
      <c r="F81" s="34"/>
      <c r="G81" s="126"/>
      <c r="H81" s="34"/>
      <c r="I81" s="34"/>
      <c r="J81" s="34"/>
      <c r="K81" s="34"/>
      <c r="L81" s="127"/>
      <c r="M81" s="34"/>
      <c r="N81" s="34"/>
      <c r="O81" s="34"/>
      <c r="P81" s="34"/>
      <c r="Q81" s="127"/>
      <c r="R81" s="34"/>
      <c r="S81" s="34"/>
      <c r="T81" s="34"/>
      <c r="U81" s="34"/>
      <c r="V81" s="126"/>
      <c r="W81" s="34"/>
      <c r="X81" s="34"/>
      <c r="Y81" s="34"/>
      <c r="Z81" s="34"/>
      <c r="AA81" s="127"/>
      <c r="AB81" s="34"/>
      <c r="AC81" s="34"/>
      <c r="AD81" s="34"/>
      <c r="AE81" s="34"/>
      <c r="AF81" s="127"/>
      <c r="AG81" s="34"/>
      <c r="AH81" s="34"/>
      <c r="AI81" s="34"/>
      <c r="AJ81" s="34"/>
      <c r="AK81" s="126"/>
      <c r="AL81" s="34"/>
      <c r="AM81" s="34"/>
      <c r="AN81" s="34"/>
      <c r="AO81" s="34"/>
      <c r="AP81" s="127"/>
      <c r="AQ81" s="34"/>
      <c r="AR81" s="34"/>
      <c r="AS81" s="34"/>
      <c r="AT81" s="34"/>
      <c r="AU81" s="127"/>
      <c r="AV81" s="34"/>
      <c r="AW81" s="34"/>
      <c r="AX81" s="34"/>
      <c r="AY81" s="34"/>
      <c r="AZ81" s="126"/>
      <c r="BA81" s="34"/>
      <c r="BB81" s="34"/>
      <c r="BC81" s="34"/>
      <c r="BD81" s="34"/>
      <c r="BE81" s="127"/>
      <c r="BF81" s="34"/>
      <c r="BG81" s="34"/>
      <c r="BH81" s="34"/>
      <c r="BI81" s="34"/>
      <c r="BJ81" s="127"/>
      <c r="BK81" s="34"/>
      <c r="BL81" s="34"/>
      <c r="BM81" s="34"/>
      <c r="BN81" s="34"/>
      <c r="BO81" s="126"/>
      <c r="BP81" s="34"/>
      <c r="BQ81" s="34"/>
      <c r="BR81" s="34"/>
      <c r="BS81" s="34"/>
      <c r="BT81" s="127"/>
      <c r="BU81" s="34"/>
      <c r="BV81" s="34"/>
      <c r="BW81" s="34"/>
      <c r="BX81" s="34"/>
      <c r="BY81" s="127"/>
      <c r="BZ81" s="34"/>
      <c r="CA81" s="34"/>
      <c r="CB81" s="34"/>
      <c r="CC81" s="34"/>
      <c r="CD81" s="126"/>
      <c r="CE81" s="34"/>
      <c r="CF81" s="34"/>
      <c r="CG81" s="34"/>
      <c r="CH81" s="34"/>
      <c r="CI81" s="127"/>
      <c r="CJ81" s="34"/>
      <c r="CK81" s="34"/>
      <c r="CL81" s="34"/>
      <c r="CM81" s="34"/>
      <c r="CN81" s="127"/>
      <c r="CO81" s="34"/>
      <c r="CP81" s="34"/>
      <c r="CQ81" s="34"/>
      <c r="CR81" s="34"/>
      <c r="CS81" s="126"/>
      <c r="CT81" s="34"/>
      <c r="CU81" s="34"/>
      <c r="CV81" s="34"/>
      <c r="CW81" s="34"/>
      <c r="CX81" s="127"/>
      <c r="CY81" s="34"/>
      <c r="CZ81" s="34"/>
      <c r="DA81" s="34"/>
      <c r="DB81" s="35"/>
    </row>
    <row r="82" spans="1:106" ht="12.75">
      <c r="A82" s="1">
        <v>74</v>
      </c>
      <c r="B82" s="124"/>
      <c r="C82" s="125"/>
      <c r="D82" s="126"/>
      <c r="E82" s="125"/>
      <c r="F82" s="125"/>
      <c r="G82" s="34"/>
      <c r="H82" s="125"/>
      <c r="I82" s="127"/>
      <c r="J82" s="125"/>
      <c r="K82" s="125"/>
      <c r="L82" s="125"/>
      <c r="M82" s="34"/>
      <c r="N82" s="127"/>
      <c r="O82" s="125"/>
      <c r="P82" s="125"/>
      <c r="Q82" s="125"/>
      <c r="R82" s="125"/>
      <c r="S82" s="126"/>
      <c r="T82" s="125"/>
      <c r="U82" s="125"/>
      <c r="V82" s="34"/>
      <c r="W82" s="125"/>
      <c r="X82" s="127"/>
      <c r="Y82" s="125"/>
      <c r="Z82" s="125"/>
      <c r="AA82" s="125"/>
      <c r="AB82" s="34"/>
      <c r="AC82" s="127"/>
      <c r="AD82" s="125"/>
      <c r="AE82" s="125"/>
      <c r="AF82" s="125"/>
      <c r="AG82" s="125"/>
      <c r="AH82" s="126"/>
      <c r="AI82" s="125"/>
      <c r="AJ82" s="125"/>
      <c r="AK82" s="34"/>
      <c r="AL82" s="125"/>
      <c r="AM82" s="127"/>
      <c r="AN82" s="125"/>
      <c r="AO82" s="125"/>
      <c r="AP82" s="125"/>
      <c r="AQ82" s="34"/>
      <c r="AR82" s="127"/>
      <c r="AS82" s="125"/>
      <c r="AT82" s="125"/>
      <c r="AU82" s="125"/>
      <c r="AV82" s="125"/>
      <c r="AW82" s="126"/>
      <c r="AX82" s="125"/>
      <c r="AY82" s="125"/>
      <c r="AZ82" s="34"/>
      <c r="BA82" s="125"/>
      <c r="BB82" s="127"/>
      <c r="BC82" s="125"/>
      <c r="BD82" s="125"/>
      <c r="BE82" s="125"/>
      <c r="BF82" s="34"/>
      <c r="BG82" s="127"/>
      <c r="BH82" s="125"/>
      <c r="BI82" s="125"/>
      <c r="BJ82" s="125"/>
      <c r="BK82" s="125"/>
      <c r="BL82" s="126"/>
      <c r="BM82" s="125"/>
      <c r="BN82" s="125"/>
      <c r="BO82" s="34"/>
      <c r="BP82" s="125"/>
      <c r="BQ82" s="127"/>
      <c r="BR82" s="125"/>
      <c r="BS82" s="125"/>
      <c r="BT82" s="125"/>
      <c r="BU82" s="34"/>
      <c r="BV82" s="127"/>
      <c r="BW82" s="125"/>
      <c r="BX82" s="125"/>
      <c r="BY82" s="125"/>
      <c r="BZ82" s="125"/>
      <c r="CA82" s="126"/>
      <c r="CB82" s="125"/>
      <c r="CC82" s="125"/>
      <c r="CD82" s="34"/>
      <c r="CE82" s="125"/>
      <c r="CF82" s="127"/>
      <c r="CG82" s="125"/>
      <c r="CH82" s="125"/>
      <c r="CI82" s="125"/>
      <c r="CJ82" s="34"/>
      <c r="CK82" s="127"/>
      <c r="CL82" s="125"/>
      <c r="CM82" s="125"/>
      <c r="CN82" s="125"/>
      <c r="CO82" s="125"/>
      <c r="CP82" s="126"/>
      <c r="CQ82" s="125"/>
      <c r="CR82" s="125"/>
      <c r="CS82" s="34"/>
      <c r="CT82" s="125"/>
      <c r="CU82" s="127"/>
      <c r="CV82" s="125"/>
      <c r="CW82" s="125"/>
      <c r="CX82" s="125"/>
      <c r="CY82" s="34"/>
      <c r="CZ82" s="127"/>
      <c r="DA82" s="125"/>
      <c r="DB82" s="128"/>
    </row>
    <row r="83" spans="1:106" ht="12.75">
      <c r="A83" s="1">
        <v>75</v>
      </c>
      <c r="B83" s="129"/>
      <c r="C83" s="34"/>
      <c r="D83" s="34"/>
      <c r="E83" s="34"/>
      <c r="F83" s="34"/>
      <c r="G83" s="126"/>
      <c r="H83" s="34"/>
      <c r="I83" s="125"/>
      <c r="J83" s="34"/>
      <c r="K83" s="34"/>
      <c r="L83" s="127"/>
      <c r="M83" s="34"/>
      <c r="N83" s="125"/>
      <c r="O83" s="34"/>
      <c r="P83" s="34"/>
      <c r="Q83" s="127"/>
      <c r="R83" s="34"/>
      <c r="S83" s="34"/>
      <c r="T83" s="34"/>
      <c r="U83" s="34"/>
      <c r="V83" s="126"/>
      <c r="W83" s="34"/>
      <c r="X83" s="125"/>
      <c r="Y83" s="34"/>
      <c r="Z83" s="34"/>
      <c r="AA83" s="127"/>
      <c r="AB83" s="34"/>
      <c r="AC83" s="125"/>
      <c r="AD83" s="34"/>
      <c r="AE83" s="34"/>
      <c r="AF83" s="127"/>
      <c r="AG83" s="34"/>
      <c r="AH83" s="34"/>
      <c r="AI83" s="34"/>
      <c r="AJ83" s="34"/>
      <c r="AK83" s="126"/>
      <c r="AL83" s="34"/>
      <c r="AM83" s="125"/>
      <c r="AN83" s="34"/>
      <c r="AO83" s="34"/>
      <c r="AP83" s="127"/>
      <c r="AQ83" s="34"/>
      <c r="AR83" s="125"/>
      <c r="AS83" s="34"/>
      <c r="AT83" s="34"/>
      <c r="AU83" s="127"/>
      <c r="AV83" s="34"/>
      <c r="AW83" s="34"/>
      <c r="AX83" s="34"/>
      <c r="AY83" s="34"/>
      <c r="AZ83" s="126"/>
      <c r="BA83" s="34"/>
      <c r="BB83" s="125"/>
      <c r="BC83" s="34"/>
      <c r="BD83" s="34"/>
      <c r="BE83" s="127"/>
      <c r="BF83" s="34"/>
      <c r="BG83" s="125"/>
      <c r="BH83" s="34"/>
      <c r="BI83" s="34"/>
      <c r="BJ83" s="127"/>
      <c r="BK83" s="34"/>
      <c r="BL83" s="34"/>
      <c r="BM83" s="34"/>
      <c r="BN83" s="34"/>
      <c r="BO83" s="126"/>
      <c r="BP83" s="34"/>
      <c r="BQ83" s="125"/>
      <c r="BR83" s="34"/>
      <c r="BS83" s="34"/>
      <c r="BT83" s="127"/>
      <c r="BU83" s="34"/>
      <c r="BV83" s="125"/>
      <c r="BW83" s="34"/>
      <c r="BX83" s="34"/>
      <c r="BY83" s="127"/>
      <c r="BZ83" s="34"/>
      <c r="CA83" s="34"/>
      <c r="CB83" s="34"/>
      <c r="CC83" s="34"/>
      <c r="CD83" s="126"/>
      <c r="CE83" s="34"/>
      <c r="CF83" s="125"/>
      <c r="CG83" s="34"/>
      <c r="CH83" s="34"/>
      <c r="CI83" s="127"/>
      <c r="CJ83" s="34"/>
      <c r="CK83" s="125"/>
      <c r="CL83" s="34"/>
      <c r="CM83" s="34"/>
      <c r="CN83" s="127"/>
      <c r="CO83" s="34"/>
      <c r="CP83" s="34"/>
      <c r="CQ83" s="34"/>
      <c r="CR83" s="34"/>
      <c r="CS83" s="126"/>
      <c r="CT83" s="34"/>
      <c r="CU83" s="125"/>
      <c r="CV83" s="34"/>
      <c r="CW83" s="34"/>
      <c r="CX83" s="127"/>
      <c r="CY83" s="34"/>
      <c r="CZ83" s="125"/>
      <c r="DA83" s="34"/>
      <c r="DB83" s="35"/>
    </row>
    <row r="84" spans="1:106" ht="12.75">
      <c r="A84" s="1">
        <v>76</v>
      </c>
      <c r="B84" s="130"/>
      <c r="C84" s="34"/>
      <c r="D84" s="126"/>
      <c r="E84" s="34"/>
      <c r="F84" s="34"/>
      <c r="G84" s="34"/>
      <c r="H84" s="34"/>
      <c r="I84" s="127"/>
      <c r="J84" s="34"/>
      <c r="K84" s="34"/>
      <c r="L84" s="34"/>
      <c r="M84" s="34"/>
      <c r="N84" s="127"/>
      <c r="O84" s="34"/>
      <c r="P84" s="34"/>
      <c r="Q84" s="34"/>
      <c r="R84" s="34"/>
      <c r="S84" s="126"/>
      <c r="T84" s="34"/>
      <c r="U84" s="34"/>
      <c r="V84" s="34"/>
      <c r="W84" s="34"/>
      <c r="X84" s="127"/>
      <c r="Y84" s="34"/>
      <c r="Z84" s="34"/>
      <c r="AA84" s="34"/>
      <c r="AB84" s="34"/>
      <c r="AC84" s="127"/>
      <c r="AD84" s="34"/>
      <c r="AE84" s="34"/>
      <c r="AF84" s="34"/>
      <c r="AG84" s="34"/>
      <c r="AH84" s="126"/>
      <c r="AI84" s="34"/>
      <c r="AJ84" s="34"/>
      <c r="AK84" s="34"/>
      <c r="AL84" s="34"/>
      <c r="AM84" s="127"/>
      <c r="AN84" s="34"/>
      <c r="AO84" s="34"/>
      <c r="AP84" s="34"/>
      <c r="AQ84" s="34"/>
      <c r="AR84" s="127"/>
      <c r="AS84" s="34"/>
      <c r="AT84" s="34"/>
      <c r="AU84" s="34"/>
      <c r="AV84" s="34"/>
      <c r="AW84" s="126"/>
      <c r="AX84" s="34"/>
      <c r="AY84" s="34"/>
      <c r="AZ84" s="34"/>
      <c r="BA84" s="34"/>
      <c r="BB84" s="127"/>
      <c r="BC84" s="34"/>
      <c r="BD84" s="34"/>
      <c r="BE84" s="34"/>
      <c r="BF84" s="34"/>
      <c r="BG84" s="127"/>
      <c r="BH84" s="34"/>
      <c r="BI84" s="34"/>
      <c r="BJ84" s="34"/>
      <c r="BK84" s="34"/>
      <c r="BL84" s="126"/>
      <c r="BM84" s="34"/>
      <c r="BN84" s="34"/>
      <c r="BO84" s="34"/>
      <c r="BP84" s="34"/>
      <c r="BQ84" s="127"/>
      <c r="BR84" s="34"/>
      <c r="BS84" s="34"/>
      <c r="BT84" s="34"/>
      <c r="BU84" s="34"/>
      <c r="BV84" s="127"/>
      <c r="BW84" s="34"/>
      <c r="BX84" s="34"/>
      <c r="BY84" s="34"/>
      <c r="BZ84" s="34"/>
      <c r="CA84" s="126"/>
      <c r="CB84" s="34"/>
      <c r="CC84" s="34"/>
      <c r="CD84" s="34"/>
      <c r="CE84" s="34"/>
      <c r="CF84" s="127"/>
      <c r="CG84" s="34"/>
      <c r="CH84" s="34"/>
      <c r="CI84" s="34"/>
      <c r="CJ84" s="34"/>
      <c r="CK84" s="127"/>
      <c r="CL84" s="34"/>
      <c r="CM84" s="34"/>
      <c r="CN84" s="34"/>
      <c r="CO84" s="34"/>
      <c r="CP84" s="126"/>
      <c r="CQ84" s="34"/>
      <c r="CR84" s="34"/>
      <c r="CS84" s="34"/>
      <c r="CT84" s="34"/>
      <c r="CU84" s="127"/>
      <c r="CV84" s="34"/>
      <c r="CW84" s="34"/>
      <c r="CX84" s="34"/>
      <c r="CY84" s="34"/>
      <c r="CZ84" s="127"/>
      <c r="DA84" s="34"/>
      <c r="DB84" s="35"/>
    </row>
    <row r="85" spans="1:106" ht="12.75">
      <c r="A85" s="1">
        <v>77</v>
      </c>
      <c r="B85" s="129"/>
      <c r="C85" s="34"/>
      <c r="D85" s="34"/>
      <c r="E85" s="34"/>
      <c r="F85" s="34"/>
      <c r="G85" s="126"/>
      <c r="H85" s="34"/>
      <c r="I85" s="34"/>
      <c r="J85" s="34"/>
      <c r="K85" s="34"/>
      <c r="L85" s="127"/>
      <c r="M85" s="34"/>
      <c r="N85" s="34"/>
      <c r="O85" s="34"/>
      <c r="P85" s="34"/>
      <c r="Q85" s="127"/>
      <c r="R85" s="34"/>
      <c r="S85" s="34"/>
      <c r="T85" s="34"/>
      <c r="U85" s="34"/>
      <c r="V85" s="126"/>
      <c r="W85" s="34"/>
      <c r="X85" s="34"/>
      <c r="Y85" s="34"/>
      <c r="Z85" s="34"/>
      <c r="AA85" s="127"/>
      <c r="AB85" s="34"/>
      <c r="AC85" s="34"/>
      <c r="AD85" s="34"/>
      <c r="AE85" s="34"/>
      <c r="AF85" s="127"/>
      <c r="AG85" s="34"/>
      <c r="AH85" s="34"/>
      <c r="AI85" s="34"/>
      <c r="AJ85" s="34"/>
      <c r="AK85" s="126"/>
      <c r="AL85" s="34"/>
      <c r="AM85" s="34"/>
      <c r="AN85" s="34"/>
      <c r="AO85" s="34"/>
      <c r="AP85" s="127"/>
      <c r="AQ85" s="34"/>
      <c r="AR85" s="34"/>
      <c r="AS85" s="34"/>
      <c r="AT85" s="34"/>
      <c r="AU85" s="127"/>
      <c r="AV85" s="34"/>
      <c r="AW85" s="34"/>
      <c r="AX85" s="34"/>
      <c r="AY85" s="34"/>
      <c r="AZ85" s="126"/>
      <c r="BA85" s="34"/>
      <c r="BB85" s="34"/>
      <c r="BC85" s="34"/>
      <c r="BD85" s="34"/>
      <c r="BE85" s="127"/>
      <c r="BF85" s="34"/>
      <c r="BG85" s="34"/>
      <c r="BH85" s="34"/>
      <c r="BI85" s="34"/>
      <c r="BJ85" s="127"/>
      <c r="BK85" s="34"/>
      <c r="BL85" s="34"/>
      <c r="BM85" s="34"/>
      <c r="BN85" s="34"/>
      <c r="BO85" s="126"/>
      <c r="BP85" s="34"/>
      <c r="BQ85" s="34"/>
      <c r="BR85" s="34"/>
      <c r="BS85" s="34"/>
      <c r="BT85" s="127"/>
      <c r="BU85" s="34"/>
      <c r="BV85" s="34"/>
      <c r="BW85" s="34"/>
      <c r="BX85" s="34"/>
      <c r="BY85" s="127"/>
      <c r="BZ85" s="34"/>
      <c r="CA85" s="34"/>
      <c r="CB85" s="34"/>
      <c r="CC85" s="34"/>
      <c r="CD85" s="126"/>
      <c r="CE85" s="34"/>
      <c r="CF85" s="34"/>
      <c r="CG85" s="34"/>
      <c r="CH85" s="34"/>
      <c r="CI85" s="127"/>
      <c r="CJ85" s="34"/>
      <c r="CK85" s="34"/>
      <c r="CL85" s="34"/>
      <c r="CM85" s="34"/>
      <c r="CN85" s="127"/>
      <c r="CO85" s="34"/>
      <c r="CP85" s="34"/>
      <c r="CQ85" s="34"/>
      <c r="CR85" s="34"/>
      <c r="CS85" s="126"/>
      <c r="CT85" s="34"/>
      <c r="CU85" s="34"/>
      <c r="CV85" s="34"/>
      <c r="CW85" s="34"/>
      <c r="CX85" s="127"/>
      <c r="CY85" s="34"/>
      <c r="CZ85" s="34"/>
      <c r="DA85" s="34"/>
      <c r="DB85" s="35"/>
    </row>
    <row r="86" spans="1:106" ht="12.75">
      <c r="A86" s="1">
        <v>78</v>
      </c>
      <c r="B86" s="130"/>
      <c r="C86" s="34"/>
      <c r="D86" s="126"/>
      <c r="E86" s="34"/>
      <c r="F86" s="34"/>
      <c r="G86" s="34"/>
      <c r="H86" s="34"/>
      <c r="I86" s="127"/>
      <c r="J86" s="34"/>
      <c r="K86" s="34"/>
      <c r="L86" s="34"/>
      <c r="M86" s="34"/>
      <c r="N86" s="127"/>
      <c r="O86" s="34"/>
      <c r="P86" s="34"/>
      <c r="Q86" s="34"/>
      <c r="R86" s="34"/>
      <c r="S86" s="126"/>
      <c r="T86" s="34"/>
      <c r="U86" s="34"/>
      <c r="V86" s="34"/>
      <c r="W86" s="34"/>
      <c r="X86" s="127"/>
      <c r="Y86" s="34"/>
      <c r="Z86" s="34"/>
      <c r="AA86" s="34"/>
      <c r="AB86" s="34"/>
      <c r="AC86" s="127"/>
      <c r="AD86" s="34"/>
      <c r="AE86" s="34"/>
      <c r="AF86" s="34"/>
      <c r="AG86" s="34"/>
      <c r="AH86" s="126"/>
      <c r="AI86" s="34"/>
      <c r="AJ86" s="34"/>
      <c r="AK86" s="34"/>
      <c r="AL86" s="34"/>
      <c r="AM86" s="127"/>
      <c r="AN86" s="34"/>
      <c r="AO86" s="34"/>
      <c r="AP86" s="34"/>
      <c r="AQ86" s="34"/>
      <c r="AR86" s="127"/>
      <c r="AS86" s="34"/>
      <c r="AT86" s="34"/>
      <c r="AU86" s="34"/>
      <c r="AV86" s="34"/>
      <c r="AW86" s="126"/>
      <c r="AX86" s="34"/>
      <c r="AY86" s="34"/>
      <c r="AZ86" s="34"/>
      <c r="BA86" s="34"/>
      <c r="BB86" s="127"/>
      <c r="BC86" s="34"/>
      <c r="BD86" s="34"/>
      <c r="BE86" s="34"/>
      <c r="BF86" s="34"/>
      <c r="BG86" s="127"/>
      <c r="BH86" s="34"/>
      <c r="BI86" s="34"/>
      <c r="BJ86" s="34"/>
      <c r="BK86" s="34"/>
      <c r="BL86" s="126"/>
      <c r="BM86" s="34"/>
      <c r="BN86" s="34"/>
      <c r="BO86" s="34"/>
      <c r="BP86" s="34"/>
      <c r="BQ86" s="127"/>
      <c r="BR86" s="34"/>
      <c r="BS86" s="34"/>
      <c r="BT86" s="34"/>
      <c r="BU86" s="34"/>
      <c r="BV86" s="127"/>
      <c r="BW86" s="34"/>
      <c r="BX86" s="34"/>
      <c r="BY86" s="34"/>
      <c r="BZ86" s="34"/>
      <c r="CA86" s="126"/>
      <c r="CB86" s="34"/>
      <c r="CC86" s="34"/>
      <c r="CD86" s="34"/>
      <c r="CE86" s="34"/>
      <c r="CF86" s="127"/>
      <c r="CG86" s="34"/>
      <c r="CH86" s="34"/>
      <c r="CI86" s="34"/>
      <c r="CJ86" s="34"/>
      <c r="CK86" s="127"/>
      <c r="CL86" s="34"/>
      <c r="CM86" s="34"/>
      <c r="CN86" s="34"/>
      <c r="CO86" s="34"/>
      <c r="CP86" s="126"/>
      <c r="CQ86" s="34"/>
      <c r="CR86" s="34"/>
      <c r="CS86" s="34"/>
      <c r="CT86" s="34"/>
      <c r="CU86" s="127"/>
      <c r="CV86" s="34"/>
      <c r="CW86" s="34"/>
      <c r="CX86" s="34"/>
      <c r="CY86" s="34"/>
      <c r="CZ86" s="127"/>
      <c r="DA86" s="34"/>
      <c r="DB86" s="35"/>
    </row>
    <row r="87" spans="1:106" ht="12.75">
      <c r="A87" s="1">
        <v>79</v>
      </c>
      <c r="B87" s="129"/>
      <c r="C87" s="34"/>
      <c r="D87" s="34"/>
      <c r="E87" s="34"/>
      <c r="F87" s="34"/>
      <c r="G87" s="126"/>
      <c r="H87" s="34"/>
      <c r="I87" s="34"/>
      <c r="J87" s="34"/>
      <c r="K87" s="34"/>
      <c r="L87" s="127"/>
      <c r="M87" s="34"/>
      <c r="N87" s="34"/>
      <c r="O87" s="34"/>
      <c r="P87" s="34"/>
      <c r="Q87" s="127"/>
      <c r="R87" s="34"/>
      <c r="S87" s="34"/>
      <c r="T87" s="34"/>
      <c r="U87" s="34"/>
      <c r="V87" s="126"/>
      <c r="W87" s="34"/>
      <c r="X87" s="34"/>
      <c r="Y87" s="34"/>
      <c r="Z87" s="34"/>
      <c r="AA87" s="127"/>
      <c r="AB87" s="34"/>
      <c r="AC87" s="34"/>
      <c r="AD87" s="34"/>
      <c r="AE87" s="34"/>
      <c r="AF87" s="127"/>
      <c r="AG87" s="34"/>
      <c r="AH87" s="34"/>
      <c r="AI87" s="34"/>
      <c r="AJ87" s="34"/>
      <c r="AK87" s="126"/>
      <c r="AL87" s="34"/>
      <c r="AM87" s="34"/>
      <c r="AN87" s="34"/>
      <c r="AO87" s="34"/>
      <c r="AP87" s="127"/>
      <c r="AQ87" s="34"/>
      <c r="AR87" s="34"/>
      <c r="AS87" s="34"/>
      <c r="AT87" s="34"/>
      <c r="AU87" s="127"/>
      <c r="AV87" s="34"/>
      <c r="AW87" s="34"/>
      <c r="AX87" s="34"/>
      <c r="AY87" s="34"/>
      <c r="AZ87" s="126"/>
      <c r="BA87" s="34"/>
      <c r="BB87" s="34"/>
      <c r="BC87" s="34"/>
      <c r="BD87" s="34"/>
      <c r="BE87" s="127"/>
      <c r="BF87" s="34"/>
      <c r="BG87" s="34"/>
      <c r="BH87" s="34"/>
      <c r="BI87" s="34"/>
      <c r="BJ87" s="127"/>
      <c r="BK87" s="34"/>
      <c r="BL87" s="34"/>
      <c r="BM87" s="34"/>
      <c r="BN87" s="34"/>
      <c r="BO87" s="126"/>
      <c r="BP87" s="34"/>
      <c r="BQ87" s="34"/>
      <c r="BR87" s="34"/>
      <c r="BS87" s="34"/>
      <c r="BT87" s="127"/>
      <c r="BU87" s="34"/>
      <c r="BV87" s="34"/>
      <c r="BW87" s="34"/>
      <c r="BX87" s="34"/>
      <c r="BY87" s="127"/>
      <c r="BZ87" s="34"/>
      <c r="CA87" s="34"/>
      <c r="CB87" s="34"/>
      <c r="CC87" s="34"/>
      <c r="CD87" s="126"/>
      <c r="CE87" s="34"/>
      <c r="CF87" s="34"/>
      <c r="CG87" s="34"/>
      <c r="CH87" s="34"/>
      <c r="CI87" s="127"/>
      <c r="CJ87" s="34"/>
      <c r="CK87" s="34"/>
      <c r="CL87" s="34"/>
      <c r="CM87" s="34"/>
      <c r="CN87" s="127"/>
      <c r="CO87" s="34"/>
      <c r="CP87" s="34"/>
      <c r="CQ87" s="34"/>
      <c r="CR87" s="34"/>
      <c r="CS87" s="126"/>
      <c r="CT87" s="34"/>
      <c r="CU87" s="34"/>
      <c r="CV87" s="34"/>
      <c r="CW87" s="34"/>
      <c r="CX87" s="127"/>
      <c r="CY87" s="34"/>
      <c r="CZ87" s="34"/>
      <c r="DA87" s="34"/>
      <c r="DB87" s="35"/>
    </row>
    <row r="88" spans="1:106" ht="12.75">
      <c r="A88" s="1">
        <v>80</v>
      </c>
      <c r="B88" s="130"/>
      <c r="C88" s="34"/>
      <c r="D88" s="126"/>
      <c r="E88" s="34"/>
      <c r="F88" s="34"/>
      <c r="G88" s="34"/>
      <c r="H88" s="34"/>
      <c r="I88" s="127"/>
      <c r="J88" s="34"/>
      <c r="K88" s="34"/>
      <c r="L88" s="34"/>
      <c r="M88" s="34"/>
      <c r="N88" s="127"/>
      <c r="O88" s="34"/>
      <c r="P88" s="34"/>
      <c r="Q88" s="34"/>
      <c r="R88" s="34"/>
      <c r="S88" s="126"/>
      <c r="T88" s="34"/>
      <c r="U88" s="34"/>
      <c r="V88" s="34"/>
      <c r="W88" s="34"/>
      <c r="X88" s="127"/>
      <c r="Y88" s="34"/>
      <c r="Z88" s="34"/>
      <c r="AA88" s="34"/>
      <c r="AB88" s="34"/>
      <c r="AC88" s="127"/>
      <c r="AD88" s="34"/>
      <c r="AE88" s="34"/>
      <c r="AF88" s="34"/>
      <c r="AG88" s="34"/>
      <c r="AH88" s="126"/>
      <c r="AI88" s="34"/>
      <c r="AJ88" s="34"/>
      <c r="AK88" s="34"/>
      <c r="AL88" s="34"/>
      <c r="AM88" s="127"/>
      <c r="AN88" s="34"/>
      <c r="AO88" s="34"/>
      <c r="AP88" s="34"/>
      <c r="AQ88" s="34"/>
      <c r="AR88" s="127"/>
      <c r="AS88" s="34"/>
      <c r="AT88" s="34"/>
      <c r="AU88" s="34"/>
      <c r="AV88" s="34"/>
      <c r="AW88" s="126"/>
      <c r="AX88" s="34"/>
      <c r="AY88" s="34"/>
      <c r="AZ88" s="34"/>
      <c r="BA88" s="34"/>
      <c r="BB88" s="127"/>
      <c r="BC88" s="34"/>
      <c r="BD88" s="34"/>
      <c r="BE88" s="34"/>
      <c r="BF88" s="34"/>
      <c r="BG88" s="127"/>
      <c r="BH88" s="34"/>
      <c r="BI88" s="34"/>
      <c r="BJ88" s="34"/>
      <c r="BK88" s="34"/>
      <c r="BL88" s="126"/>
      <c r="BM88" s="34"/>
      <c r="BN88" s="34"/>
      <c r="BO88" s="34"/>
      <c r="BP88" s="34"/>
      <c r="BQ88" s="127"/>
      <c r="BR88" s="34"/>
      <c r="BS88" s="34"/>
      <c r="BT88" s="34"/>
      <c r="BU88" s="34"/>
      <c r="BV88" s="127"/>
      <c r="BW88" s="34"/>
      <c r="BX88" s="34"/>
      <c r="BY88" s="34"/>
      <c r="BZ88" s="34"/>
      <c r="CA88" s="126"/>
      <c r="CB88" s="34"/>
      <c r="CC88" s="34"/>
      <c r="CD88" s="34"/>
      <c r="CE88" s="34"/>
      <c r="CF88" s="127"/>
      <c r="CG88" s="34"/>
      <c r="CH88" s="34"/>
      <c r="CI88" s="34"/>
      <c r="CJ88" s="34"/>
      <c r="CK88" s="127"/>
      <c r="CL88" s="34"/>
      <c r="CM88" s="34"/>
      <c r="CN88" s="34"/>
      <c r="CO88" s="34"/>
      <c r="CP88" s="126"/>
      <c r="CQ88" s="34"/>
      <c r="CR88" s="34"/>
      <c r="CS88" s="34"/>
      <c r="CT88" s="34"/>
      <c r="CU88" s="127"/>
      <c r="CV88" s="34"/>
      <c r="CW88" s="34"/>
      <c r="CX88" s="34"/>
      <c r="CY88" s="34"/>
      <c r="CZ88" s="127"/>
      <c r="DA88" s="34"/>
      <c r="DB88" s="35"/>
    </row>
    <row r="89" spans="1:106" ht="12.75">
      <c r="A89" s="1">
        <v>81</v>
      </c>
      <c r="B89" s="129"/>
      <c r="C89" s="34"/>
      <c r="D89" s="34"/>
      <c r="E89" s="34"/>
      <c r="F89" s="34"/>
      <c r="G89" s="126"/>
      <c r="H89" s="34"/>
      <c r="I89" s="34"/>
      <c r="J89" s="34"/>
      <c r="K89" s="34"/>
      <c r="L89" s="127"/>
      <c r="M89" s="34"/>
      <c r="N89" s="34"/>
      <c r="O89" s="34"/>
      <c r="P89" s="34"/>
      <c r="Q89" s="127"/>
      <c r="R89" s="34"/>
      <c r="S89" s="34"/>
      <c r="T89" s="34"/>
      <c r="U89" s="34"/>
      <c r="V89" s="126"/>
      <c r="W89" s="34"/>
      <c r="X89" s="34"/>
      <c r="Y89" s="34"/>
      <c r="Z89" s="34"/>
      <c r="AA89" s="127"/>
      <c r="AB89" s="34"/>
      <c r="AC89" s="34"/>
      <c r="AD89" s="34"/>
      <c r="AE89" s="34"/>
      <c r="AF89" s="127"/>
      <c r="AG89" s="34"/>
      <c r="AH89" s="34"/>
      <c r="AI89" s="34"/>
      <c r="AJ89" s="34"/>
      <c r="AK89" s="126"/>
      <c r="AL89" s="34"/>
      <c r="AM89" s="34"/>
      <c r="AN89" s="34"/>
      <c r="AO89" s="34"/>
      <c r="AP89" s="127"/>
      <c r="AQ89" s="34"/>
      <c r="AR89" s="34"/>
      <c r="AS89" s="34"/>
      <c r="AT89" s="34"/>
      <c r="AU89" s="127"/>
      <c r="AV89" s="34"/>
      <c r="AW89" s="34"/>
      <c r="AX89" s="34"/>
      <c r="AY89" s="34"/>
      <c r="AZ89" s="126"/>
      <c r="BA89" s="34"/>
      <c r="BB89" s="34"/>
      <c r="BC89" s="34"/>
      <c r="BD89" s="34"/>
      <c r="BE89" s="127"/>
      <c r="BF89" s="34"/>
      <c r="BG89" s="34"/>
      <c r="BH89" s="34"/>
      <c r="BI89" s="34"/>
      <c r="BJ89" s="127"/>
      <c r="BK89" s="34"/>
      <c r="BL89" s="34"/>
      <c r="BM89" s="34"/>
      <c r="BN89" s="34"/>
      <c r="BO89" s="126"/>
      <c r="BP89" s="34"/>
      <c r="BQ89" s="34"/>
      <c r="BR89" s="34"/>
      <c r="BS89" s="34"/>
      <c r="BT89" s="127"/>
      <c r="BU89" s="34"/>
      <c r="BV89" s="34"/>
      <c r="BW89" s="34"/>
      <c r="BX89" s="34"/>
      <c r="BY89" s="127"/>
      <c r="BZ89" s="34"/>
      <c r="CA89" s="34"/>
      <c r="CB89" s="34"/>
      <c r="CC89" s="34"/>
      <c r="CD89" s="126"/>
      <c r="CE89" s="34"/>
      <c r="CF89" s="34"/>
      <c r="CG89" s="34"/>
      <c r="CH89" s="34"/>
      <c r="CI89" s="127"/>
      <c r="CJ89" s="34"/>
      <c r="CK89" s="34"/>
      <c r="CL89" s="34"/>
      <c r="CM89" s="34"/>
      <c r="CN89" s="127"/>
      <c r="CO89" s="34"/>
      <c r="CP89" s="34"/>
      <c r="CQ89" s="34"/>
      <c r="CR89" s="34"/>
      <c r="CS89" s="126"/>
      <c r="CT89" s="34"/>
      <c r="CU89" s="34"/>
      <c r="CV89" s="34"/>
      <c r="CW89" s="34"/>
      <c r="CX89" s="127"/>
      <c r="CY89" s="34"/>
      <c r="CZ89" s="34"/>
      <c r="DA89" s="34"/>
      <c r="DB89" s="35"/>
    </row>
    <row r="90" spans="1:106" ht="12.75">
      <c r="A90" s="1">
        <v>82</v>
      </c>
      <c r="B90" s="124"/>
      <c r="C90" s="125"/>
      <c r="D90" s="126"/>
      <c r="E90" s="125"/>
      <c r="F90" s="125"/>
      <c r="G90" s="34"/>
      <c r="H90" s="125"/>
      <c r="I90" s="127"/>
      <c r="J90" s="125"/>
      <c r="K90" s="125"/>
      <c r="L90" s="125"/>
      <c r="M90" s="34"/>
      <c r="N90" s="127"/>
      <c r="O90" s="125"/>
      <c r="P90" s="125"/>
      <c r="Q90" s="125"/>
      <c r="R90" s="125"/>
      <c r="S90" s="126"/>
      <c r="T90" s="125"/>
      <c r="U90" s="125"/>
      <c r="V90" s="34"/>
      <c r="W90" s="125"/>
      <c r="X90" s="127"/>
      <c r="Y90" s="125"/>
      <c r="Z90" s="125"/>
      <c r="AA90" s="125"/>
      <c r="AB90" s="34"/>
      <c r="AC90" s="127"/>
      <c r="AD90" s="125"/>
      <c r="AE90" s="125"/>
      <c r="AF90" s="125"/>
      <c r="AG90" s="125"/>
      <c r="AH90" s="126"/>
      <c r="AI90" s="125"/>
      <c r="AJ90" s="125"/>
      <c r="AK90" s="34"/>
      <c r="AL90" s="125"/>
      <c r="AM90" s="127"/>
      <c r="AN90" s="125"/>
      <c r="AO90" s="125"/>
      <c r="AP90" s="125"/>
      <c r="AQ90" s="34"/>
      <c r="AR90" s="127"/>
      <c r="AS90" s="125"/>
      <c r="AT90" s="125"/>
      <c r="AU90" s="125"/>
      <c r="AV90" s="125"/>
      <c r="AW90" s="126"/>
      <c r="AX90" s="125"/>
      <c r="AY90" s="125"/>
      <c r="AZ90" s="34"/>
      <c r="BA90" s="125"/>
      <c r="BB90" s="127"/>
      <c r="BC90" s="125"/>
      <c r="BD90" s="125"/>
      <c r="BE90" s="125"/>
      <c r="BF90" s="34"/>
      <c r="BG90" s="127"/>
      <c r="BH90" s="125"/>
      <c r="BI90" s="125"/>
      <c r="BJ90" s="125"/>
      <c r="BK90" s="125"/>
      <c r="BL90" s="126"/>
      <c r="BM90" s="125"/>
      <c r="BN90" s="125"/>
      <c r="BO90" s="34"/>
      <c r="BP90" s="125"/>
      <c r="BQ90" s="127"/>
      <c r="BR90" s="125"/>
      <c r="BS90" s="125"/>
      <c r="BT90" s="125"/>
      <c r="BU90" s="34"/>
      <c r="BV90" s="127"/>
      <c r="BW90" s="125"/>
      <c r="BX90" s="125"/>
      <c r="BY90" s="125"/>
      <c r="BZ90" s="125"/>
      <c r="CA90" s="126"/>
      <c r="CB90" s="125"/>
      <c r="CC90" s="125"/>
      <c r="CD90" s="34"/>
      <c r="CE90" s="125"/>
      <c r="CF90" s="127"/>
      <c r="CG90" s="125"/>
      <c r="CH90" s="125"/>
      <c r="CI90" s="125"/>
      <c r="CJ90" s="34"/>
      <c r="CK90" s="127"/>
      <c r="CL90" s="125"/>
      <c r="CM90" s="125"/>
      <c r="CN90" s="125"/>
      <c r="CO90" s="125"/>
      <c r="CP90" s="126"/>
      <c r="CQ90" s="125"/>
      <c r="CR90" s="125"/>
      <c r="CS90" s="34"/>
      <c r="CT90" s="125"/>
      <c r="CU90" s="127"/>
      <c r="CV90" s="125"/>
      <c r="CW90" s="125"/>
      <c r="CX90" s="125"/>
      <c r="CY90" s="34"/>
      <c r="CZ90" s="127"/>
      <c r="DA90" s="125"/>
      <c r="DB90" s="128"/>
    </row>
    <row r="91" spans="1:106" ht="12.75">
      <c r="A91" s="1">
        <v>83</v>
      </c>
      <c r="B91" s="129"/>
      <c r="C91" s="34"/>
      <c r="D91" s="34"/>
      <c r="E91" s="34"/>
      <c r="F91" s="34"/>
      <c r="G91" s="126"/>
      <c r="H91" s="34"/>
      <c r="I91" s="125"/>
      <c r="J91" s="34"/>
      <c r="K91" s="34"/>
      <c r="L91" s="127"/>
      <c r="M91" s="34"/>
      <c r="N91" s="125"/>
      <c r="O91" s="34"/>
      <c r="P91" s="34"/>
      <c r="Q91" s="127"/>
      <c r="R91" s="34"/>
      <c r="S91" s="34"/>
      <c r="T91" s="34"/>
      <c r="U91" s="34"/>
      <c r="V91" s="126"/>
      <c r="W91" s="34"/>
      <c r="X91" s="125"/>
      <c r="Y91" s="34"/>
      <c r="Z91" s="34"/>
      <c r="AA91" s="127"/>
      <c r="AB91" s="34"/>
      <c r="AC91" s="125"/>
      <c r="AD91" s="34"/>
      <c r="AE91" s="34"/>
      <c r="AF91" s="127"/>
      <c r="AG91" s="34"/>
      <c r="AH91" s="34"/>
      <c r="AI91" s="34"/>
      <c r="AJ91" s="34"/>
      <c r="AK91" s="126"/>
      <c r="AL91" s="34"/>
      <c r="AM91" s="125"/>
      <c r="AN91" s="34"/>
      <c r="AO91" s="34"/>
      <c r="AP91" s="127"/>
      <c r="AQ91" s="34"/>
      <c r="AR91" s="125"/>
      <c r="AS91" s="34"/>
      <c r="AT91" s="34"/>
      <c r="AU91" s="127"/>
      <c r="AV91" s="34"/>
      <c r="AW91" s="34"/>
      <c r="AX91" s="34"/>
      <c r="AY91" s="34"/>
      <c r="AZ91" s="126"/>
      <c r="BA91" s="34"/>
      <c r="BB91" s="125"/>
      <c r="BC91" s="34"/>
      <c r="BD91" s="34"/>
      <c r="BE91" s="127"/>
      <c r="BF91" s="34"/>
      <c r="BG91" s="125"/>
      <c r="BH91" s="34"/>
      <c r="BI91" s="34"/>
      <c r="BJ91" s="127"/>
      <c r="BK91" s="34"/>
      <c r="BL91" s="34"/>
      <c r="BM91" s="34"/>
      <c r="BN91" s="34"/>
      <c r="BO91" s="126"/>
      <c r="BP91" s="34"/>
      <c r="BQ91" s="125"/>
      <c r="BR91" s="34"/>
      <c r="BS91" s="34"/>
      <c r="BT91" s="127"/>
      <c r="BU91" s="34"/>
      <c r="BV91" s="125"/>
      <c r="BW91" s="34"/>
      <c r="BX91" s="34"/>
      <c r="BY91" s="127"/>
      <c r="BZ91" s="34"/>
      <c r="CA91" s="34"/>
      <c r="CB91" s="34"/>
      <c r="CC91" s="34"/>
      <c r="CD91" s="126"/>
      <c r="CE91" s="34"/>
      <c r="CF91" s="125"/>
      <c r="CG91" s="34"/>
      <c r="CH91" s="34"/>
      <c r="CI91" s="127"/>
      <c r="CJ91" s="34"/>
      <c r="CK91" s="125"/>
      <c r="CL91" s="34"/>
      <c r="CM91" s="34"/>
      <c r="CN91" s="127"/>
      <c r="CO91" s="34"/>
      <c r="CP91" s="34"/>
      <c r="CQ91" s="34"/>
      <c r="CR91" s="34"/>
      <c r="CS91" s="126"/>
      <c r="CT91" s="34"/>
      <c r="CU91" s="125"/>
      <c r="CV91" s="34"/>
      <c r="CW91" s="34"/>
      <c r="CX91" s="127"/>
      <c r="CY91" s="34"/>
      <c r="CZ91" s="125"/>
      <c r="DA91" s="34"/>
      <c r="DB91" s="35"/>
    </row>
    <row r="92" spans="1:106" ht="12.75">
      <c r="A92" s="1">
        <v>84</v>
      </c>
      <c r="B92" s="130"/>
      <c r="C92" s="34"/>
      <c r="D92" s="126"/>
      <c r="E92" s="34"/>
      <c r="F92" s="34"/>
      <c r="G92" s="34"/>
      <c r="H92" s="34"/>
      <c r="I92" s="127"/>
      <c r="J92" s="34"/>
      <c r="K92" s="34"/>
      <c r="L92" s="34"/>
      <c r="M92" s="34"/>
      <c r="N92" s="127"/>
      <c r="O92" s="34"/>
      <c r="P92" s="34"/>
      <c r="Q92" s="34"/>
      <c r="R92" s="34"/>
      <c r="S92" s="126"/>
      <c r="T92" s="34"/>
      <c r="U92" s="34"/>
      <c r="V92" s="34"/>
      <c r="W92" s="34"/>
      <c r="X92" s="127"/>
      <c r="Y92" s="34"/>
      <c r="Z92" s="34"/>
      <c r="AA92" s="34"/>
      <c r="AB92" s="34"/>
      <c r="AC92" s="127"/>
      <c r="AD92" s="34"/>
      <c r="AE92" s="34"/>
      <c r="AF92" s="34"/>
      <c r="AG92" s="34"/>
      <c r="AH92" s="126"/>
      <c r="AI92" s="34"/>
      <c r="AJ92" s="34"/>
      <c r="AK92" s="34"/>
      <c r="AL92" s="34"/>
      <c r="AM92" s="127"/>
      <c r="AN92" s="34"/>
      <c r="AO92" s="34"/>
      <c r="AP92" s="34"/>
      <c r="AQ92" s="34"/>
      <c r="AR92" s="127"/>
      <c r="AS92" s="34"/>
      <c r="AT92" s="34"/>
      <c r="AU92" s="34"/>
      <c r="AV92" s="34"/>
      <c r="AW92" s="126"/>
      <c r="AX92" s="34"/>
      <c r="AY92" s="34"/>
      <c r="AZ92" s="34"/>
      <c r="BA92" s="34"/>
      <c r="BB92" s="127"/>
      <c r="BC92" s="34"/>
      <c r="BD92" s="34"/>
      <c r="BE92" s="34"/>
      <c r="BF92" s="34"/>
      <c r="BG92" s="127"/>
      <c r="BH92" s="34"/>
      <c r="BI92" s="34"/>
      <c r="BJ92" s="34"/>
      <c r="BK92" s="34"/>
      <c r="BL92" s="126"/>
      <c r="BM92" s="34"/>
      <c r="BN92" s="34"/>
      <c r="BO92" s="34"/>
      <c r="BP92" s="34"/>
      <c r="BQ92" s="127"/>
      <c r="BR92" s="34"/>
      <c r="BS92" s="34"/>
      <c r="BT92" s="34"/>
      <c r="BU92" s="34"/>
      <c r="BV92" s="127"/>
      <c r="BW92" s="34"/>
      <c r="BX92" s="34"/>
      <c r="BY92" s="34"/>
      <c r="BZ92" s="34"/>
      <c r="CA92" s="126"/>
      <c r="CB92" s="34"/>
      <c r="CC92" s="34"/>
      <c r="CD92" s="34"/>
      <c r="CE92" s="34"/>
      <c r="CF92" s="127"/>
      <c r="CG92" s="34"/>
      <c r="CH92" s="34"/>
      <c r="CI92" s="34"/>
      <c r="CJ92" s="34"/>
      <c r="CK92" s="127"/>
      <c r="CL92" s="34"/>
      <c r="CM92" s="34"/>
      <c r="CN92" s="34"/>
      <c r="CO92" s="34"/>
      <c r="CP92" s="126"/>
      <c r="CQ92" s="34"/>
      <c r="CR92" s="34"/>
      <c r="CS92" s="34"/>
      <c r="CT92" s="34"/>
      <c r="CU92" s="127"/>
      <c r="CV92" s="34"/>
      <c r="CW92" s="34"/>
      <c r="CX92" s="34"/>
      <c r="CY92" s="34"/>
      <c r="CZ92" s="127"/>
      <c r="DA92" s="34"/>
      <c r="DB92" s="35"/>
    </row>
    <row r="93" spans="1:106" ht="12.75">
      <c r="A93" s="1">
        <v>85</v>
      </c>
      <c r="B93" s="129"/>
      <c r="C93" s="34"/>
      <c r="D93" s="34"/>
      <c r="E93" s="34"/>
      <c r="F93" s="34"/>
      <c r="G93" s="126"/>
      <c r="H93" s="34"/>
      <c r="I93" s="34"/>
      <c r="J93" s="34"/>
      <c r="K93" s="34"/>
      <c r="L93" s="127"/>
      <c r="M93" s="34"/>
      <c r="N93" s="34"/>
      <c r="O93" s="34"/>
      <c r="P93" s="34"/>
      <c r="Q93" s="127"/>
      <c r="R93" s="34"/>
      <c r="S93" s="34"/>
      <c r="T93" s="34"/>
      <c r="U93" s="34"/>
      <c r="V93" s="126"/>
      <c r="W93" s="34"/>
      <c r="X93" s="34"/>
      <c r="Y93" s="34"/>
      <c r="Z93" s="34"/>
      <c r="AA93" s="127"/>
      <c r="AB93" s="34"/>
      <c r="AC93" s="34"/>
      <c r="AD93" s="34"/>
      <c r="AE93" s="34"/>
      <c r="AF93" s="127"/>
      <c r="AG93" s="34"/>
      <c r="AH93" s="34"/>
      <c r="AI93" s="34"/>
      <c r="AJ93" s="34"/>
      <c r="AK93" s="126"/>
      <c r="AL93" s="34"/>
      <c r="AM93" s="34"/>
      <c r="AN93" s="34"/>
      <c r="AO93" s="34"/>
      <c r="AP93" s="127"/>
      <c r="AQ93" s="34"/>
      <c r="AR93" s="34"/>
      <c r="AS93" s="34"/>
      <c r="AT93" s="34"/>
      <c r="AU93" s="127"/>
      <c r="AV93" s="34"/>
      <c r="AW93" s="34"/>
      <c r="AX93" s="34"/>
      <c r="AY93" s="34"/>
      <c r="AZ93" s="126"/>
      <c r="BA93" s="34"/>
      <c r="BB93" s="34"/>
      <c r="BC93" s="34"/>
      <c r="BD93" s="34"/>
      <c r="BE93" s="127"/>
      <c r="BF93" s="34"/>
      <c r="BG93" s="34"/>
      <c r="BH93" s="34"/>
      <c r="BI93" s="34"/>
      <c r="BJ93" s="127"/>
      <c r="BK93" s="34"/>
      <c r="BL93" s="34"/>
      <c r="BM93" s="34"/>
      <c r="BN93" s="34"/>
      <c r="BO93" s="126"/>
      <c r="BP93" s="34"/>
      <c r="BQ93" s="34"/>
      <c r="BR93" s="34"/>
      <c r="BS93" s="34"/>
      <c r="BT93" s="127"/>
      <c r="BU93" s="34"/>
      <c r="BV93" s="34"/>
      <c r="BW93" s="34"/>
      <c r="BX93" s="34"/>
      <c r="BY93" s="127"/>
      <c r="BZ93" s="34"/>
      <c r="CA93" s="34"/>
      <c r="CB93" s="34"/>
      <c r="CC93" s="34"/>
      <c r="CD93" s="126"/>
      <c r="CE93" s="34"/>
      <c r="CF93" s="34"/>
      <c r="CG93" s="34"/>
      <c r="CH93" s="34"/>
      <c r="CI93" s="127"/>
      <c r="CJ93" s="34"/>
      <c r="CK93" s="34"/>
      <c r="CL93" s="34"/>
      <c r="CM93" s="34"/>
      <c r="CN93" s="127"/>
      <c r="CO93" s="34"/>
      <c r="CP93" s="34"/>
      <c r="CQ93" s="34"/>
      <c r="CR93" s="34"/>
      <c r="CS93" s="126"/>
      <c r="CT93" s="34"/>
      <c r="CU93" s="34"/>
      <c r="CV93" s="34"/>
      <c r="CW93" s="34"/>
      <c r="CX93" s="127"/>
      <c r="CY93" s="34"/>
      <c r="CZ93" s="34"/>
      <c r="DA93" s="34"/>
      <c r="DB93" s="35"/>
    </row>
    <row r="94" spans="1:106" ht="12.75">
      <c r="A94" s="1">
        <v>86</v>
      </c>
      <c r="B94" s="130"/>
      <c r="C94" s="34"/>
      <c r="D94" s="126"/>
      <c r="E94" s="34"/>
      <c r="F94" s="34"/>
      <c r="G94" s="34"/>
      <c r="H94" s="34"/>
      <c r="I94" s="127"/>
      <c r="J94" s="34"/>
      <c r="K94" s="34"/>
      <c r="L94" s="34"/>
      <c r="M94" s="34"/>
      <c r="N94" s="127"/>
      <c r="O94" s="34"/>
      <c r="P94" s="34"/>
      <c r="Q94" s="34"/>
      <c r="R94" s="34"/>
      <c r="S94" s="126"/>
      <c r="T94" s="34"/>
      <c r="U94" s="34"/>
      <c r="V94" s="34"/>
      <c r="W94" s="34"/>
      <c r="X94" s="127"/>
      <c r="Y94" s="34"/>
      <c r="Z94" s="34"/>
      <c r="AA94" s="34"/>
      <c r="AB94" s="34"/>
      <c r="AC94" s="127"/>
      <c r="AD94" s="34"/>
      <c r="AE94" s="34"/>
      <c r="AF94" s="34"/>
      <c r="AG94" s="34"/>
      <c r="AH94" s="126"/>
      <c r="AI94" s="34"/>
      <c r="AJ94" s="34"/>
      <c r="AK94" s="34"/>
      <c r="AL94" s="34"/>
      <c r="AM94" s="127"/>
      <c r="AN94" s="34"/>
      <c r="AO94" s="34"/>
      <c r="AP94" s="34"/>
      <c r="AQ94" s="34"/>
      <c r="AR94" s="127"/>
      <c r="AS94" s="34"/>
      <c r="AT94" s="34"/>
      <c r="AU94" s="34"/>
      <c r="AV94" s="34"/>
      <c r="AW94" s="126"/>
      <c r="AX94" s="34"/>
      <c r="AY94" s="34"/>
      <c r="AZ94" s="34"/>
      <c r="BA94" s="34"/>
      <c r="BB94" s="127"/>
      <c r="BC94" s="34"/>
      <c r="BD94" s="34"/>
      <c r="BE94" s="34"/>
      <c r="BF94" s="34"/>
      <c r="BG94" s="127"/>
      <c r="BH94" s="34"/>
      <c r="BI94" s="34"/>
      <c r="BJ94" s="34"/>
      <c r="BK94" s="34"/>
      <c r="BL94" s="126"/>
      <c r="BM94" s="34"/>
      <c r="BN94" s="34"/>
      <c r="BO94" s="34"/>
      <c r="BP94" s="34"/>
      <c r="BQ94" s="127"/>
      <c r="BR94" s="34"/>
      <c r="BS94" s="34"/>
      <c r="BT94" s="34"/>
      <c r="BU94" s="34"/>
      <c r="BV94" s="127"/>
      <c r="BW94" s="34"/>
      <c r="BX94" s="34"/>
      <c r="BY94" s="34"/>
      <c r="BZ94" s="34"/>
      <c r="CA94" s="126"/>
      <c r="CB94" s="34"/>
      <c r="CC94" s="34"/>
      <c r="CD94" s="34"/>
      <c r="CE94" s="34"/>
      <c r="CF94" s="127"/>
      <c r="CG94" s="34"/>
      <c r="CH94" s="34"/>
      <c r="CI94" s="34"/>
      <c r="CJ94" s="34"/>
      <c r="CK94" s="127"/>
      <c r="CL94" s="34"/>
      <c r="CM94" s="34"/>
      <c r="CN94" s="34"/>
      <c r="CO94" s="34"/>
      <c r="CP94" s="126"/>
      <c r="CQ94" s="34"/>
      <c r="CR94" s="34"/>
      <c r="CS94" s="34"/>
      <c r="CT94" s="34"/>
      <c r="CU94" s="127"/>
      <c r="CV94" s="34"/>
      <c r="CW94" s="34"/>
      <c r="CX94" s="34"/>
      <c r="CY94" s="34"/>
      <c r="CZ94" s="127"/>
      <c r="DA94" s="34"/>
      <c r="DB94" s="35"/>
    </row>
    <row r="95" spans="1:106" ht="12.75">
      <c r="A95" s="1">
        <v>87</v>
      </c>
      <c r="B95" s="129"/>
      <c r="C95" s="34"/>
      <c r="D95" s="34"/>
      <c r="E95" s="34"/>
      <c r="F95" s="34"/>
      <c r="G95" s="126"/>
      <c r="H95" s="34"/>
      <c r="I95" s="34"/>
      <c r="J95" s="34"/>
      <c r="K95" s="34"/>
      <c r="L95" s="127"/>
      <c r="M95" s="34"/>
      <c r="N95" s="34"/>
      <c r="O95" s="34"/>
      <c r="P95" s="34"/>
      <c r="Q95" s="127"/>
      <c r="R95" s="34"/>
      <c r="S95" s="34"/>
      <c r="T95" s="34"/>
      <c r="U95" s="34"/>
      <c r="V95" s="126"/>
      <c r="W95" s="34"/>
      <c r="X95" s="34"/>
      <c r="Y95" s="34"/>
      <c r="Z95" s="34"/>
      <c r="AA95" s="127"/>
      <c r="AB95" s="34"/>
      <c r="AC95" s="34"/>
      <c r="AD95" s="34"/>
      <c r="AE95" s="34"/>
      <c r="AF95" s="127"/>
      <c r="AG95" s="34"/>
      <c r="AH95" s="34"/>
      <c r="AI95" s="34"/>
      <c r="AJ95" s="34"/>
      <c r="AK95" s="126"/>
      <c r="AL95" s="34"/>
      <c r="AM95" s="34"/>
      <c r="AN95" s="34"/>
      <c r="AO95" s="34"/>
      <c r="AP95" s="127"/>
      <c r="AQ95" s="34"/>
      <c r="AR95" s="34"/>
      <c r="AS95" s="34"/>
      <c r="AT95" s="34"/>
      <c r="AU95" s="127"/>
      <c r="AV95" s="34"/>
      <c r="AW95" s="34"/>
      <c r="AX95" s="34"/>
      <c r="AY95" s="34"/>
      <c r="AZ95" s="126"/>
      <c r="BA95" s="34"/>
      <c r="BB95" s="34"/>
      <c r="BC95" s="34"/>
      <c r="BD95" s="34"/>
      <c r="BE95" s="127"/>
      <c r="BF95" s="34"/>
      <c r="BG95" s="34"/>
      <c r="BH95" s="34"/>
      <c r="BI95" s="34"/>
      <c r="BJ95" s="127"/>
      <c r="BK95" s="34"/>
      <c r="BL95" s="34"/>
      <c r="BM95" s="34"/>
      <c r="BN95" s="34"/>
      <c r="BO95" s="126"/>
      <c r="BP95" s="34"/>
      <c r="BQ95" s="34"/>
      <c r="BR95" s="34"/>
      <c r="BS95" s="34"/>
      <c r="BT95" s="127"/>
      <c r="BU95" s="34"/>
      <c r="BV95" s="34"/>
      <c r="BW95" s="34"/>
      <c r="BX95" s="34"/>
      <c r="BY95" s="127"/>
      <c r="BZ95" s="34"/>
      <c r="CA95" s="34"/>
      <c r="CB95" s="34"/>
      <c r="CC95" s="34"/>
      <c r="CD95" s="126"/>
      <c r="CE95" s="34"/>
      <c r="CF95" s="34"/>
      <c r="CG95" s="34"/>
      <c r="CH95" s="34"/>
      <c r="CI95" s="127"/>
      <c r="CJ95" s="34"/>
      <c r="CK95" s="34"/>
      <c r="CL95" s="34"/>
      <c r="CM95" s="34"/>
      <c r="CN95" s="127"/>
      <c r="CO95" s="34"/>
      <c r="CP95" s="34"/>
      <c r="CQ95" s="34"/>
      <c r="CR95" s="34"/>
      <c r="CS95" s="126"/>
      <c r="CT95" s="34"/>
      <c r="CU95" s="34"/>
      <c r="CV95" s="34"/>
      <c r="CW95" s="34"/>
      <c r="CX95" s="127"/>
      <c r="CY95" s="34"/>
      <c r="CZ95" s="34"/>
      <c r="DA95" s="34"/>
      <c r="DB95" s="35"/>
    </row>
    <row r="96" spans="1:106" ht="12.75">
      <c r="A96" s="1">
        <v>88</v>
      </c>
      <c r="B96" s="130"/>
      <c r="C96" s="34"/>
      <c r="D96" s="126"/>
      <c r="E96" s="34"/>
      <c r="F96" s="34"/>
      <c r="G96" s="34"/>
      <c r="H96" s="34"/>
      <c r="I96" s="127"/>
      <c r="J96" s="34"/>
      <c r="K96" s="34"/>
      <c r="L96" s="34"/>
      <c r="M96" s="34"/>
      <c r="N96" s="127"/>
      <c r="O96" s="34"/>
      <c r="P96" s="34"/>
      <c r="Q96" s="34"/>
      <c r="R96" s="34"/>
      <c r="S96" s="126"/>
      <c r="T96" s="34"/>
      <c r="U96" s="34"/>
      <c r="V96" s="34"/>
      <c r="W96" s="34"/>
      <c r="X96" s="127"/>
      <c r="Y96" s="34"/>
      <c r="Z96" s="34"/>
      <c r="AA96" s="34"/>
      <c r="AB96" s="34"/>
      <c r="AC96" s="127"/>
      <c r="AD96" s="34"/>
      <c r="AE96" s="34"/>
      <c r="AF96" s="34"/>
      <c r="AG96" s="34"/>
      <c r="AH96" s="126"/>
      <c r="AI96" s="34"/>
      <c r="AJ96" s="34"/>
      <c r="AK96" s="34"/>
      <c r="AL96" s="34"/>
      <c r="AM96" s="127"/>
      <c r="AN96" s="34"/>
      <c r="AO96" s="34"/>
      <c r="AP96" s="34"/>
      <c r="AQ96" s="34"/>
      <c r="AR96" s="127"/>
      <c r="AS96" s="34"/>
      <c r="AT96" s="34"/>
      <c r="AU96" s="34"/>
      <c r="AV96" s="34"/>
      <c r="AW96" s="126"/>
      <c r="AX96" s="34"/>
      <c r="AY96" s="34"/>
      <c r="AZ96" s="34"/>
      <c r="BA96" s="34"/>
      <c r="BB96" s="127"/>
      <c r="BC96" s="34"/>
      <c r="BD96" s="34"/>
      <c r="BE96" s="34"/>
      <c r="BF96" s="34"/>
      <c r="BG96" s="127"/>
      <c r="BH96" s="34"/>
      <c r="BI96" s="34"/>
      <c r="BJ96" s="34"/>
      <c r="BK96" s="34"/>
      <c r="BL96" s="126"/>
      <c r="BM96" s="34"/>
      <c r="BN96" s="34"/>
      <c r="BO96" s="34"/>
      <c r="BP96" s="34"/>
      <c r="BQ96" s="127"/>
      <c r="BR96" s="34"/>
      <c r="BS96" s="34"/>
      <c r="BT96" s="34"/>
      <c r="BU96" s="34"/>
      <c r="BV96" s="127"/>
      <c r="BW96" s="34"/>
      <c r="BX96" s="34"/>
      <c r="BY96" s="34"/>
      <c r="BZ96" s="34"/>
      <c r="CA96" s="126"/>
      <c r="CB96" s="34"/>
      <c r="CC96" s="34"/>
      <c r="CD96" s="34"/>
      <c r="CE96" s="34"/>
      <c r="CF96" s="127"/>
      <c r="CG96" s="34"/>
      <c r="CH96" s="34"/>
      <c r="CI96" s="34"/>
      <c r="CJ96" s="34"/>
      <c r="CK96" s="127"/>
      <c r="CL96" s="34"/>
      <c r="CM96" s="34"/>
      <c r="CN96" s="34"/>
      <c r="CO96" s="34"/>
      <c r="CP96" s="126"/>
      <c r="CQ96" s="34"/>
      <c r="CR96" s="34"/>
      <c r="CS96" s="34"/>
      <c r="CT96" s="34"/>
      <c r="CU96" s="127"/>
      <c r="CV96" s="34"/>
      <c r="CW96" s="34"/>
      <c r="CX96" s="34"/>
      <c r="CY96" s="34"/>
      <c r="CZ96" s="127"/>
      <c r="DA96" s="34"/>
      <c r="DB96" s="35"/>
    </row>
    <row r="97" spans="1:106" ht="12.75">
      <c r="A97" s="1">
        <v>89</v>
      </c>
      <c r="B97" s="129"/>
      <c r="C97" s="34"/>
      <c r="D97" s="34"/>
      <c r="E97" s="34"/>
      <c r="F97" s="34"/>
      <c r="G97" s="126"/>
      <c r="H97" s="34"/>
      <c r="I97" s="34"/>
      <c r="J97" s="34"/>
      <c r="K97" s="34"/>
      <c r="L97" s="127"/>
      <c r="M97" s="34"/>
      <c r="N97" s="34"/>
      <c r="O97" s="34"/>
      <c r="P97" s="34"/>
      <c r="Q97" s="127"/>
      <c r="R97" s="34"/>
      <c r="S97" s="34"/>
      <c r="T97" s="34"/>
      <c r="U97" s="34"/>
      <c r="V97" s="126"/>
      <c r="W97" s="34"/>
      <c r="X97" s="34"/>
      <c r="Y97" s="34"/>
      <c r="Z97" s="34"/>
      <c r="AA97" s="127"/>
      <c r="AB97" s="34"/>
      <c r="AC97" s="34"/>
      <c r="AD97" s="34"/>
      <c r="AE97" s="34"/>
      <c r="AF97" s="127"/>
      <c r="AG97" s="34"/>
      <c r="AH97" s="34"/>
      <c r="AI97" s="34"/>
      <c r="AJ97" s="34"/>
      <c r="AK97" s="126"/>
      <c r="AL97" s="34"/>
      <c r="AM97" s="34"/>
      <c r="AN97" s="34"/>
      <c r="AO97" s="34"/>
      <c r="AP97" s="127"/>
      <c r="AQ97" s="34"/>
      <c r="AR97" s="34"/>
      <c r="AS97" s="34"/>
      <c r="AT97" s="34"/>
      <c r="AU97" s="127"/>
      <c r="AV97" s="34"/>
      <c r="AW97" s="34"/>
      <c r="AX97" s="34"/>
      <c r="AY97" s="34"/>
      <c r="AZ97" s="126"/>
      <c r="BA97" s="34"/>
      <c r="BB97" s="34"/>
      <c r="BC97" s="34"/>
      <c r="BD97" s="34"/>
      <c r="BE97" s="127"/>
      <c r="BF97" s="34"/>
      <c r="BG97" s="34"/>
      <c r="BH97" s="34"/>
      <c r="BI97" s="34"/>
      <c r="BJ97" s="127"/>
      <c r="BK97" s="34"/>
      <c r="BL97" s="34"/>
      <c r="BM97" s="34"/>
      <c r="BN97" s="34"/>
      <c r="BO97" s="126"/>
      <c r="BP97" s="34"/>
      <c r="BQ97" s="34"/>
      <c r="BR97" s="34"/>
      <c r="BS97" s="34"/>
      <c r="BT97" s="127"/>
      <c r="BU97" s="34"/>
      <c r="BV97" s="34"/>
      <c r="BW97" s="34"/>
      <c r="BX97" s="34"/>
      <c r="BY97" s="127"/>
      <c r="BZ97" s="34"/>
      <c r="CA97" s="34"/>
      <c r="CB97" s="34"/>
      <c r="CC97" s="34"/>
      <c r="CD97" s="126"/>
      <c r="CE97" s="34"/>
      <c r="CF97" s="34"/>
      <c r="CG97" s="34"/>
      <c r="CH97" s="34"/>
      <c r="CI97" s="127"/>
      <c r="CJ97" s="34"/>
      <c r="CK97" s="34"/>
      <c r="CL97" s="34"/>
      <c r="CM97" s="34"/>
      <c r="CN97" s="127"/>
      <c r="CO97" s="34"/>
      <c r="CP97" s="34"/>
      <c r="CQ97" s="34"/>
      <c r="CR97" s="34"/>
      <c r="CS97" s="126"/>
      <c r="CT97" s="34"/>
      <c r="CU97" s="34"/>
      <c r="CV97" s="34"/>
      <c r="CW97" s="34"/>
      <c r="CX97" s="127"/>
      <c r="CY97" s="34"/>
      <c r="CZ97" s="34"/>
      <c r="DA97" s="34"/>
      <c r="DB97" s="35"/>
    </row>
    <row r="98" spans="1:106" ht="12.75">
      <c r="A98" s="1">
        <v>90</v>
      </c>
      <c r="B98" s="124"/>
      <c r="C98" s="125"/>
      <c r="D98" s="126"/>
      <c r="E98" s="125"/>
      <c r="F98" s="125"/>
      <c r="G98" s="34"/>
      <c r="H98" s="125"/>
      <c r="I98" s="127"/>
      <c r="J98" s="125"/>
      <c r="K98" s="125"/>
      <c r="L98" s="125"/>
      <c r="M98" s="34"/>
      <c r="N98" s="127"/>
      <c r="O98" s="125"/>
      <c r="P98" s="125"/>
      <c r="Q98" s="125"/>
      <c r="R98" s="125"/>
      <c r="S98" s="126"/>
      <c r="T98" s="125"/>
      <c r="U98" s="125"/>
      <c r="V98" s="34"/>
      <c r="W98" s="125"/>
      <c r="X98" s="127"/>
      <c r="Y98" s="125"/>
      <c r="Z98" s="125"/>
      <c r="AA98" s="125"/>
      <c r="AB98" s="34"/>
      <c r="AC98" s="127"/>
      <c r="AD98" s="125"/>
      <c r="AE98" s="125"/>
      <c r="AF98" s="125"/>
      <c r="AG98" s="125"/>
      <c r="AH98" s="126"/>
      <c r="AI98" s="125"/>
      <c r="AJ98" s="125"/>
      <c r="AK98" s="34"/>
      <c r="AL98" s="125"/>
      <c r="AM98" s="127"/>
      <c r="AN98" s="125"/>
      <c r="AO98" s="125"/>
      <c r="AP98" s="125"/>
      <c r="AQ98" s="34"/>
      <c r="AR98" s="127"/>
      <c r="AS98" s="125"/>
      <c r="AT98" s="125"/>
      <c r="AU98" s="125"/>
      <c r="AV98" s="125"/>
      <c r="AW98" s="126"/>
      <c r="AX98" s="125"/>
      <c r="AY98" s="125"/>
      <c r="AZ98" s="34"/>
      <c r="BA98" s="125"/>
      <c r="BB98" s="127"/>
      <c r="BC98" s="125"/>
      <c r="BD98" s="125"/>
      <c r="BE98" s="125"/>
      <c r="BF98" s="34"/>
      <c r="BG98" s="127"/>
      <c r="BH98" s="125"/>
      <c r="BI98" s="125"/>
      <c r="BJ98" s="125"/>
      <c r="BK98" s="125"/>
      <c r="BL98" s="126"/>
      <c r="BM98" s="125"/>
      <c r="BN98" s="125"/>
      <c r="BO98" s="34"/>
      <c r="BP98" s="125"/>
      <c r="BQ98" s="127"/>
      <c r="BR98" s="125"/>
      <c r="BS98" s="125"/>
      <c r="BT98" s="125"/>
      <c r="BU98" s="34"/>
      <c r="BV98" s="127"/>
      <c r="BW98" s="125"/>
      <c r="BX98" s="125"/>
      <c r="BY98" s="125"/>
      <c r="BZ98" s="125"/>
      <c r="CA98" s="126"/>
      <c r="CB98" s="125"/>
      <c r="CC98" s="125"/>
      <c r="CD98" s="34"/>
      <c r="CE98" s="125"/>
      <c r="CF98" s="127"/>
      <c r="CG98" s="125"/>
      <c r="CH98" s="125"/>
      <c r="CI98" s="125"/>
      <c r="CJ98" s="34"/>
      <c r="CK98" s="127"/>
      <c r="CL98" s="125"/>
      <c r="CM98" s="125"/>
      <c r="CN98" s="125"/>
      <c r="CO98" s="125"/>
      <c r="CP98" s="126"/>
      <c r="CQ98" s="125"/>
      <c r="CR98" s="125"/>
      <c r="CS98" s="34"/>
      <c r="CT98" s="125"/>
      <c r="CU98" s="127"/>
      <c r="CV98" s="125"/>
      <c r="CW98" s="125"/>
      <c r="CX98" s="125"/>
      <c r="CY98" s="34"/>
      <c r="CZ98" s="127"/>
      <c r="DA98" s="125"/>
      <c r="DB98" s="128"/>
    </row>
    <row r="99" spans="1:106" ht="12.75">
      <c r="A99" s="1">
        <v>91</v>
      </c>
      <c r="B99" s="129"/>
      <c r="C99" s="34"/>
      <c r="D99" s="34"/>
      <c r="E99" s="34"/>
      <c r="F99" s="34"/>
      <c r="G99" s="126"/>
      <c r="H99" s="34"/>
      <c r="I99" s="125"/>
      <c r="J99" s="34"/>
      <c r="K99" s="34"/>
      <c r="L99" s="127"/>
      <c r="M99" s="34"/>
      <c r="N99" s="125"/>
      <c r="O99" s="34"/>
      <c r="P99" s="34"/>
      <c r="Q99" s="127"/>
      <c r="R99" s="34"/>
      <c r="S99" s="34"/>
      <c r="T99" s="34"/>
      <c r="U99" s="34"/>
      <c r="V99" s="126"/>
      <c r="W99" s="34"/>
      <c r="X99" s="125"/>
      <c r="Y99" s="34"/>
      <c r="Z99" s="34"/>
      <c r="AA99" s="127"/>
      <c r="AB99" s="34"/>
      <c r="AC99" s="125"/>
      <c r="AD99" s="34"/>
      <c r="AE99" s="34"/>
      <c r="AF99" s="127"/>
      <c r="AG99" s="34"/>
      <c r="AH99" s="34"/>
      <c r="AI99" s="34"/>
      <c r="AJ99" s="34"/>
      <c r="AK99" s="126"/>
      <c r="AL99" s="34"/>
      <c r="AM99" s="125"/>
      <c r="AN99" s="34"/>
      <c r="AO99" s="34"/>
      <c r="AP99" s="127"/>
      <c r="AQ99" s="34"/>
      <c r="AR99" s="125"/>
      <c r="AS99" s="34"/>
      <c r="AT99" s="34"/>
      <c r="AU99" s="127"/>
      <c r="AV99" s="34"/>
      <c r="AW99" s="34"/>
      <c r="AX99" s="34"/>
      <c r="AY99" s="34"/>
      <c r="AZ99" s="126"/>
      <c r="BA99" s="34"/>
      <c r="BB99" s="125"/>
      <c r="BC99" s="34"/>
      <c r="BD99" s="34"/>
      <c r="BE99" s="127"/>
      <c r="BF99" s="34"/>
      <c r="BG99" s="125"/>
      <c r="BH99" s="34"/>
      <c r="BI99" s="34"/>
      <c r="BJ99" s="127"/>
      <c r="BK99" s="34"/>
      <c r="BL99" s="34"/>
      <c r="BM99" s="34"/>
      <c r="BN99" s="34"/>
      <c r="BO99" s="126"/>
      <c r="BP99" s="34"/>
      <c r="BQ99" s="125"/>
      <c r="BR99" s="34"/>
      <c r="BS99" s="34"/>
      <c r="BT99" s="127"/>
      <c r="BU99" s="34"/>
      <c r="BV99" s="125"/>
      <c r="BW99" s="34"/>
      <c r="BX99" s="34"/>
      <c r="BY99" s="127"/>
      <c r="BZ99" s="34"/>
      <c r="CA99" s="34"/>
      <c r="CB99" s="34"/>
      <c r="CC99" s="34"/>
      <c r="CD99" s="126"/>
      <c r="CE99" s="34"/>
      <c r="CF99" s="125"/>
      <c r="CG99" s="34"/>
      <c r="CH99" s="34"/>
      <c r="CI99" s="127"/>
      <c r="CJ99" s="34"/>
      <c r="CK99" s="125"/>
      <c r="CL99" s="34"/>
      <c r="CM99" s="34"/>
      <c r="CN99" s="127"/>
      <c r="CO99" s="34"/>
      <c r="CP99" s="34"/>
      <c r="CQ99" s="34"/>
      <c r="CR99" s="34"/>
      <c r="CS99" s="126"/>
      <c r="CT99" s="34"/>
      <c r="CU99" s="125"/>
      <c r="CV99" s="34"/>
      <c r="CW99" s="34"/>
      <c r="CX99" s="127"/>
      <c r="CY99" s="34"/>
      <c r="CZ99" s="125"/>
      <c r="DA99" s="34"/>
      <c r="DB99" s="35"/>
    </row>
    <row r="100" spans="1:106" ht="12.75">
      <c r="A100" s="1">
        <v>92</v>
      </c>
      <c r="B100" s="130"/>
      <c r="C100" s="34"/>
      <c r="D100" s="126"/>
      <c r="E100" s="34"/>
      <c r="F100" s="34"/>
      <c r="G100" s="34"/>
      <c r="H100" s="34"/>
      <c r="I100" s="127"/>
      <c r="J100" s="34"/>
      <c r="K100" s="34"/>
      <c r="L100" s="34"/>
      <c r="M100" s="34"/>
      <c r="N100" s="127"/>
      <c r="O100" s="34"/>
      <c r="P100" s="34"/>
      <c r="Q100" s="34"/>
      <c r="R100" s="34"/>
      <c r="S100" s="126"/>
      <c r="T100" s="34"/>
      <c r="U100" s="34"/>
      <c r="V100" s="34"/>
      <c r="W100" s="34"/>
      <c r="X100" s="127"/>
      <c r="Y100" s="34"/>
      <c r="Z100" s="34"/>
      <c r="AA100" s="34"/>
      <c r="AB100" s="34"/>
      <c r="AC100" s="127"/>
      <c r="AD100" s="34"/>
      <c r="AE100" s="34"/>
      <c r="AF100" s="34"/>
      <c r="AG100" s="34"/>
      <c r="AH100" s="126"/>
      <c r="AI100" s="34"/>
      <c r="AJ100" s="34"/>
      <c r="AK100" s="34"/>
      <c r="AL100" s="34"/>
      <c r="AM100" s="127"/>
      <c r="AN100" s="34"/>
      <c r="AO100" s="34"/>
      <c r="AP100" s="34"/>
      <c r="AQ100" s="34"/>
      <c r="AR100" s="127"/>
      <c r="AS100" s="34"/>
      <c r="AT100" s="34"/>
      <c r="AU100" s="34"/>
      <c r="AV100" s="34"/>
      <c r="AW100" s="126"/>
      <c r="AX100" s="34"/>
      <c r="AY100" s="34"/>
      <c r="AZ100" s="34"/>
      <c r="BA100" s="34"/>
      <c r="BB100" s="127"/>
      <c r="BC100" s="34"/>
      <c r="BD100" s="34"/>
      <c r="BE100" s="34"/>
      <c r="BF100" s="34"/>
      <c r="BG100" s="127"/>
      <c r="BH100" s="34"/>
      <c r="BI100" s="34"/>
      <c r="BJ100" s="34"/>
      <c r="BK100" s="34"/>
      <c r="BL100" s="126"/>
      <c r="BM100" s="34"/>
      <c r="BN100" s="34"/>
      <c r="BO100" s="34"/>
      <c r="BP100" s="34"/>
      <c r="BQ100" s="127"/>
      <c r="BR100" s="34"/>
      <c r="BS100" s="34"/>
      <c r="BT100" s="34"/>
      <c r="BU100" s="34"/>
      <c r="BV100" s="127"/>
      <c r="BW100" s="34"/>
      <c r="BX100" s="34"/>
      <c r="BY100" s="34"/>
      <c r="BZ100" s="34"/>
      <c r="CA100" s="126"/>
      <c r="CB100" s="34"/>
      <c r="CC100" s="34"/>
      <c r="CD100" s="34"/>
      <c r="CE100" s="34"/>
      <c r="CF100" s="127"/>
      <c r="CG100" s="34"/>
      <c r="CH100" s="34"/>
      <c r="CI100" s="34"/>
      <c r="CJ100" s="34"/>
      <c r="CK100" s="127"/>
      <c r="CL100" s="34"/>
      <c r="CM100" s="34"/>
      <c r="CN100" s="34"/>
      <c r="CO100" s="34"/>
      <c r="CP100" s="126"/>
      <c r="CQ100" s="34"/>
      <c r="CR100" s="34"/>
      <c r="CS100" s="34"/>
      <c r="CT100" s="34"/>
      <c r="CU100" s="127"/>
      <c r="CV100" s="34"/>
      <c r="CW100" s="34"/>
      <c r="CX100" s="34"/>
      <c r="CY100" s="34"/>
      <c r="CZ100" s="127"/>
      <c r="DA100" s="34"/>
      <c r="DB100" s="35"/>
    </row>
    <row r="101" spans="1:106" ht="12.75">
      <c r="A101" s="1">
        <v>93</v>
      </c>
      <c r="B101" s="129"/>
      <c r="C101" s="34"/>
      <c r="D101" s="34"/>
      <c r="E101" s="34"/>
      <c r="F101" s="34"/>
      <c r="G101" s="126"/>
      <c r="H101" s="34"/>
      <c r="I101" s="34"/>
      <c r="J101" s="34"/>
      <c r="K101" s="34"/>
      <c r="L101" s="127"/>
      <c r="M101" s="34"/>
      <c r="N101" s="34"/>
      <c r="O101" s="34"/>
      <c r="P101" s="34"/>
      <c r="Q101" s="127"/>
      <c r="R101" s="34"/>
      <c r="S101" s="34"/>
      <c r="T101" s="34"/>
      <c r="U101" s="34"/>
      <c r="V101" s="126"/>
      <c r="W101" s="34"/>
      <c r="X101" s="34"/>
      <c r="Y101" s="34"/>
      <c r="Z101" s="34"/>
      <c r="AA101" s="127"/>
      <c r="AB101" s="34"/>
      <c r="AC101" s="34"/>
      <c r="AD101" s="34"/>
      <c r="AE101" s="34"/>
      <c r="AF101" s="127"/>
      <c r="AG101" s="34"/>
      <c r="AH101" s="34"/>
      <c r="AI101" s="34"/>
      <c r="AJ101" s="34"/>
      <c r="AK101" s="126"/>
      <c r="AL101" s="34"/>
      <c r="AM101" s="34"/>
      <c r="AN101" s="34"/>
      <c r="AO101" s="34"/>
      <c r="AP101" s="127"/>
      <c r="AQ101" s="34"/>
      <c r="AR101" s="34"/>
      <c r="AS101" s="34"/>
      <c r="AT101" s="34"/>
      <c r="AU101" s="127"/>
      <c r="AV101" s="34"/>
      <c r="AW101" s="34"/>
      <c r="AX101" s="34"/>
      <c r="AY101" s="34"/>
      <c r="AZ101" s="126"/>
      <c r="BA101" s="34"/>
      <c r="BB101" s="34"/>
      <c r="BC101" s="34"/>
      <c r="BD101" s="34"/>
      <c r="BE101" s="127"/>
      <c r="BF101" s="34"/>
      <c r="BG101" s="34"/>
      <c r="BH101" s="34"/>
      <c r="BI101" s="34"/>
      <c r="BJ101" s="127"/>
      <c r="BK101" s="34"/>
      <c r="BL101" s="34"/>
      <c r="BM101" s="34"/>
      <c r="BN101" s="34"/>
      <c r="BO101" s="126"/>
      <c r="BP101" s="34"/>
      <c r="BQ101" s="34"/>
      <c r="BR101" s="34"/>
      <c r="BS101" s="34"/>
      <c r="BT101" s="127"/>
      <c r="BU101" s="34"/>
      <c r="BV101" s="34"/>
      <c r="BW101" s="34"/>
      <c r="BX101" s="34"/>
      <c r="BY101" s="127"/>
      <c r="BZ101" s="34"/>
      <c r="CA101" s="34"/>
      <c r="CB101" s="34"/>
      <c r="CC101" s="34"/>
      <c r="CD101" s="126"/>
      <c r="CE101" s="34"/>
      <c r="CF101" s="34"/>
      <c r="CG101" s="34"/>
      <c r="CH101" s="34"/>
      <c r="CI101" s="127"/>
      <c r="CJ101" s="34"/>
      <c r="CK101" s="34"/>
      <c r="CL101" s="34"/>
      <c r="CM101" s="34"/>
      <c r="CN101" s="127"/>
      <c r="CO101" s="34"/>
      <c r="CP101" s="34"/>
      <c r="CQ101" s="34"/>
      <c r="CR101" s="34"/>
      <c r="CS101" s="126"/>
      <c r="CT101" s="34"/>
      <c r="CU101" s="34"/>
      <c r="CV101" s="34"/>
      <c r="CW101" s="34"/>
      <c r="CX101" s="127"/>
      <c r="CY101" s="34"/>
      <c r="CZ101" s="34"/>
      <c r="DA101" s="34"/>
      <c r="DB101" s="35"/>
    </row>
    <row r="102" spans="1:106" ht="12.75">
      <c r="A102" s="1">
        <v>94</v>
      </c>
      <c r="B102" s="130"/>
      <c r="C102" s="34"/>
      <c r="D102" s="126"/>
      <c r="E102" s="34"/>
      <c r="F102" s="34"/>
      <c r="G102" s="34"/>
      <c r="H102" s="34"/>
      <c r="I102" s="127"/>
      <c r="J102" s="34"/>
      <c r="K102" s="34"/>
      <c r="L102" s="34"/>
      <c r="M102" s="34"/>
      <c r="N102" s="127"/>
      <c r="O102" s="34"/>
      <c r="P102" s="34"/>
      <c r="Q102" s="34"/>
      <c r="R102" s="34"/>
      <c r="S102" s="126"/>
      <c r="T102" s="34"/>
      <c r="U102" s="34"/>
      <c r="V102" s="34"/>
      <c r="W102" s="34"/>
      <c r="X102" s="127"/>
      <c r="Y102" s="34"/>
      <c r="Z102" s="34"/>
      <c r="AA102" s="34"/>
      <c r="AB102" s="34"/>
      <c r="AC102" s="127"/>
      <c r="AD102" s="34"/>
      <c r="AE102" s="34"/>
      <c r="AF102" s="34"/>
      <c r="AG102" s="34"/>
      <c r="AH102" s="126"/>
      <c r="AI102" s="34"/>
      <c r="AJ102" s="34"/>
      <c r="AK102" s="34"/>
      <c r="AL102" s="34"/>
      <c r="AM102" s="127"/>
      <c r="AN102" s="34"/>
      <c r="AO102" s="34"/>
      <c r="AP102" s="34"/>
      <c r="AQ102" s="34"/>
      <c r="AR102" s="127"/>
      <c r="AS102" s="34"/>
      <c r="AT102" s="34"/>
      <c r="AU102" s="34"/>
      <c r="AV102" s="34"/>
      <c r="AW102" s="126"/>
      <c r="AX102" s="34"/>
      <c r="AY102" s="34"/>
      <c r="AZ102" s="34"/>
      <c r="BA102" s="34"/>
      <c r="BB102" s="127"/>
      <c r="BC102" s="34"/>
      <c r="BD102" s="34"/>
      <c r="BE102" s="34"/>
      <c r="BF102" s="34"/>
      <c r="BG102" s="127"/>
      <c r="BH102" s="34"/>
      <c r="BI102" s="34"/>
      <c r="BJ102" s="34"/>
      <c r="BK102" s="34"/>
      <c r="BL102" s="126"/>
      <c r="BM102" s="34"/>
      <c r="BN102" s="34"/>
      <c r="BO102" s="34"/>
      <c r="BP102" s="34"/>
      <c r="BQ102" s="127"/>
      <c r="BR102" s="34"/>
      <c r="BS102" s="34"/>
      <c r="BT102" s="34"/>
      <c r="BU102" s="34"/>
      <c r="BV102" s="127"/>
      <c r="BW102" s="34"/>
      <c r="BX102" s="34"/>
      <c r="BY102" s="34"/>
      <c r="BZ102" s="34"/>
      <c r="CA102" s="126"/>
      <c r="CB102" s="34"/>
      <c r="CC102" s="34"/>
      <c r="CD102" s="34"/>
      <c r="CE102" s="34"/>
      <c r="CF102" s="127"/>
      <c r="CG102" s="34"/>
      <c r="CH102" s="34"/>
      <c r="CI102" s="34"/>
      <c r="CJ102" s="34"/>
      <c r="CK102" s="127"/>
      <c r="CL102" s="34"/>
      <c r="CM102" s="34"/>
      <c r="CN102" s="34"/>
      <c r="CO102" s="34"/>
      <c r="CP102" s="126"/>
      <c r="CQ102" s="34"/>
      <c r="CR102" s="34"/>
      <c r="CS102" s="34"/>
      <c r="CT102" s="34"/>
      <c r="CU102" s="127"/>
      <c r="CV102" s="34"/>
      <c r="CW102" s="34"/>
      <c r="CX102" s="34"/>
      <c r="CY102" s="34"/>
      <c r="CZ102" s="127"/>
      <c r="DA102" s="34"/>
      <c r="DB102" s="35"/>
    </row>
    <row r="103" spans="1:106" ht="12.75">
      <c r="A103" s="1">
        <v>95</v>
      </c>
      <c r="B103" s="129"/>
      <c r="C103" s="34"/>
      <c r="D103" s="34"/>
      <c r="E103" s="34"/>
      <c r="F103" s="34"/>
      <c r="G103" s="126"/>
      <c r="H103" s="34"/>
      <c r="I103" s="34"/>
      <c r="J103" s="34"/>
      <c r="K103" s="34"/>
      <c r="L103" s="127"/>
      <c r="M103" s="34"/>
      <c r="N103" s="34"/>
      <c r="O103" s="34"/>
      <c r="P103" s="34"/>
      <c r="Q103" s="127"/>
      <c r="R103" s="34"/>
      <c r="S103" s="34"/>
      <c r="T103" s="34"/>
      <c r="U103" s="34"/>
      <c r="V103" s="126"/>
      <c r="W103" s="34"/>
      <c r="X103" s="34"/>
      <c r="Y103" s="34"/>
      <c r="Z103" s="34"/>
      <c r="AA103" s="127"/>
      <c r="AB103" s="34"/>
      <c r="AC103" s="34"/>
      <c r="AD103" s="34"/>
      <c r="AE103" s="34"/>
      <c r="AF103" s="127"/>
      <c r="AG103" s="34"/>
      <c r="AH103" s="34"/>
      <c r="AI103" s="34"/>
      <c r="AJ103" s="34"/>
      <c r="AK103" s="126"/>
      <c r="AL103" s="34"/>
      <c r="AM103" s="34"/>
      <c r="AN103" s="34"/>
      <c r="AO103" s="34"/>
      <c r="AP103" s="127"/>
      <c r="AQ103" s="34"/>
      <c r="AR103" s="34"/>
      <c r="AS103" s="34"/>
      <c r="AT103" s="34"/>
      <c r="AU103" s="127"/>
      <c r="AV103" s="34"/>
      <c r="AW103" s="34"/>
      <c r="AX103" s="34"/>
      <c r="AY103" s="34"/>
      <c r="AZ103" s="126"/>
      <c r="BA103" s="34"/>
      <c r="BB103" s="34"/>
      <c r="BC103" s="34"/>
      <c r="BD103" s="34"/>
      <c r="BE103" s="127"/>
      <c r="BF103" s="34"/>
      <c r="BG103" s="34"/>
      <c r="BH103" s="34"/>
      <c r="BI103" s="34"/>
      <c r="BJ103" s="127"/>
      <c r="BK103" s="34"/>
      <c r="BL103" s="34"/>
      <c r="BM103" s="34"/>
      <c r="BN103" s="34"/>
      <c r="BO103" s="126"/>
      <c r="BP103" s="34"/>
      <c r="BQ103" s="34"/>
      <c r="BR103" s="34"/>
      <c r="BS103" s="34"/>
      <c r="BT103" s="127"/>
      <c r="BU103" s="34"/>
      <c r="BV103" s="34"/>
      <c r="BW103" s="34"/>
      <c r="BX103" s="34"/>
      <c r="BY103" s="127"/>
      <c r="BZ103" s="34"/>
      <c r="CA103" s="34"/>
      <c r="CB103" s="34"/>
      <c r="CC103" s="34"/>
      <c r="CD103" s="126"/>
      <c r="CE103" s="34"/>
      <c r="CF103" s="34"/>
      <c r="CG103" s="34"/>
      <c r="CH103" s="34"/>
      <c r="CI103" s="127"/>
      <c r="CJ103" s="34"/>
      <c r="CK103" s="34"/>
      <c r="CL103" s="34"/>
      <c r="CM103" s="34"/>
      <c r="CN103" s="127"/>
      <c r="CO103" s="34"/>
      <c r="CP103" s="34"/>
      <c r="CQ103" s="34"/>
      <c r="CR103" s="34"/>
      <c r="CS103" s="126"/>
      <c r="CT103" s="34"/>
      <c r="CU103" s="34"/>
      <c r="CV103" s="34"/>
      <c r="CW103" s="34"/>
      <c r="CX103" s="127"/>
      <c r="CY103" s="34"/>
      <c r="CZ103" s="34"/>
      <c r="DA103" s="34"/>
      <c r="DB103" s="35"/>
    </row>
    <row r="104" spans="1:106" ht="12.75">
      <c r="A104" s="1">
        <v>96</v>
      </c>
      <c r="B104" s="130"/>
      <c r="C104" s="34"/>
      <c r="D104" s="126"/>
      <c r="E104" s="34"/>
      <c r="F104" s="34"/>
      <c r="G104" s="34"/>
      <c r="H104" s="34"/>
      <c r="I104" s="127"/>
      <c r="J104" s="34"/>
      <c r="K104" s="34"/>
      <c r="L104" s="34"/>
      <c r="M104" s="34"/>
      <c r="N104" s="127"/>
      <c r="O104" s="34"/>
      <c r="P104" s="34"/>
      <c r="Q104" s="34"/>
      <c r="R104" s="34"/>
      <c r="S104" s="126"/>
      <c r="T104" s="34"/>
      <c r="U104" s="34"/>
      <c r="V104" s="34"/>
      <c r="W104" s="34"/>
      <c r="X104" s="127"/>
      <c r="Y104" s="34"/>
      <c r="Z104" s="34"/>
      <c r="AA104" s="34"/>
      <c r="AB104" s="34"/>
      <c r="AC104" s="127"/>
      <c r="AD104" s="34"/>
      <c r="AE104" s="34"/>
      <c r="AF104" s="34"/>
      <c r="AG104" s="34"/>
      <c r="AH104" s="126"/>
      <c r="AI104" s="34"/>
      <c r="AJ104" s="34"/>
      <c r="AK104" s="34"/>
      <c r="AL104" s="34"/>
      <c r="AM104" s="127"/>
      <c r="AN104" s="34"/>
      <c r="AO104" s="34"/>
      <c r="AP104" s="34"/>
      <c r="AQ104" s="34"/>
      <c r="AR104" s="127"/>
      <c r="AS104" s="34"/>
      <c r="AT104" s="34"/>
      <c r="AU104" s="34"/>
      <c r="AV104" s="34"/>
      <c r="AW104" s="126"/>
      <c r="AX104" s="34"/>
      <c r="AY104" s="34"/>
      <c r="AZ104" s="34"/>
      <c r="BA104" s="34"/>
      <c r="BB104" s="127"/>
      <c r="BC104" s="34"/>
      <c r="BD104" s="34"/>
      <c r="BE104" s="34"/>
      <c r="BF104" s="34"/>
      <c r="BG104" s="127"/>
      <c r="BH104" s="34"/>
      <c r="BI104" s="34"/>
      <c r="BJ104" s="34"/>
      <c r="BK104" s="34"/>
      <c r="BL104" s="126"/>
      <c r="BM104" s="34"/>
      <c r="BN104" s="34"/>
      <c r="BO104" s="34"/>
      <c r="BP104" s="34"/>
      <c r="BQ104" s="127"/>
      <c r="BR104" s="34"/>
      <c r="BS104" s="34"/>
      <c r="BT104" s="34"/>
      <c r="BU104" s="34"/>
      <c r="BV104" s="127"/>
      <c r="BW104" s="34"/>
      <c r="BX104" s="34"/>
      <c r="BY104" s="34"/>
      <c r="BZ104" s="34"/>
      <c r="CA104" s="126"/>
      <c r="CB104" s="34"/>
      <c r="CC104" s="34"/>
      <c r="CD104" s="34"/>
      <c r="CE104" s="34"/>
      <c r="CF104" s="127"/>
      <c r="CG104" s="34"/>
      <c r="CH104" s="34"/>
      <c r="CI104" s="34"/>
      <c r="CJ104" s="34"/>
      <c r="CK104" s="127"/>
      <c r="CL104" s="34"/>
      <c r="CM104" s="34"/>
      <c r="CN104" s="34"/>
      <c r="CO104" s="34"/>
      <c r="CP104" s="126"/>
      <c r="CQ104" s="34"/>
      <c r="CR104" s="34"/>
      <c r="CS104" s="34"/>
      <c r="CT104" s="34"/>
      <c r="CU104" s="127"/>
      <c r="CV104" s="34"/>
      <c r="CW104" s="34"/>
      <c r="CX104" s="34"/>
      <c r="CY104" s="34"/>
      <c r="CZ104" s="127"/>
      <c r="DA104" s="34"/>
      <c r="DB104" s="35"/>
    </row>
    <row r="105" spans="1:106" ht="12.75">
      <c r="A105" s="1">
        <v>97</v>
      </c>
      <c r="B105" s="129"/>
      <c r="C105" s="34"/>
      <c r="D105" s="34"/>
      <c r="E105" s="34"/>
      <c r="F105" s="34"/>
      <c r="G105" s="126"/>
      <c r="H105" s="34"/>
      <c r="I105" s="34"/>
      <c r="J105" s="34"/>
      <c r="K105" s="34"/>
      <c r="L105" s="127"/>
      <c r="M105" s="34"/>
      <c r="N105" s="34"/>
      <c r="O105" s="34"/>
      <c r="P105" s="34"/>
      <c r="Q105" s="127"/>
      <c r="R105" s="34"/>
      <c r="S105" s="34"/>
      <c r="T105" s="34"/>
      <c r="U105" s="34"/>
      <c r="V105" s="126"/>
      <c r="W105" s="34"/>
      <c r="X105" s="34"/>
      <c r="Y105" s="34"/>
      <c r="Z105" s="34"/>
      <c r="AA105" s="127"/>
      <c r="AB105" s="34"/>
      <c r="AC105" s="34"/>
      <c r="AD105" s="34"/>
      <c r="AE105" s="34"/>
      <c r="AF105" s="127"/>
      <c r="AG105" s="34"/>
      <c r="AH105" s="34"/>
      <c r="AI105" s="34"/>
      <c r="AJ105" s="34"/>
      <c r="AK105" s="126"/>
      <c r="AL105" s="34"/>
      <c r="AM105" s="34"/>
      <c r="AN105" s="34"/>
      <c r="AO105" s="34"/>
      <c r="AP105" s="127"/>
      <c r="AQ105" s="34"/>
      <c r="AR105" s="34"/>
      <c r="AS105" s="34"/>
      <c r="AT105" s="34"/>
      <c r="AU105" s="127"/>
      <c r="AV105" s="34"/>
      <c r="AW105" s="34"/>
      <c r="AX105" s="34"/>
      <c r="AY105" s="34"/>
      <c r="AZ105" s="126"/>
      <c r="BA105" s="34"/>
      <c r="BB105" s="34"/>
      <c r="BC105" s="34"/>
      <c r="BD105" s="34"/>
      <c r="BE105" s="127"/>
      <c r="BF105" s="34"/>
      <c r="BG105" s="34"/>
      <c r="BH105" s="34"/>
      <c r="BI105" s="34"/>
      <c r="BJ105" s="127"/>
      <c r="BK105" s="34"/>
      <c r="BL105" s="34"/>
      <c r="BM105" s="34"/>
      <c r="BN105" s="34"/>
      <c r="BO105" s="126"/>
      <c r="BP105" s="34"/>
      <c r="BQ105" s="34"/>
      <c r="BR105" s="34"/>
      <c r="BS105" s="34"/>
      <c r="BT105" s="127"/>
      <c r="BU105" s="34"/>
      <c r="BV105" s="34"/>
      <c r="BW105" s="34"/>
      <c r="BX105" s="34"/>
      <c r="BY105" s="127"/>
      <c r="BZ105" s="34"/>
      <c r="CA105" s="34"/>
      <c r="CB105" s="34"/>
      <c r="CC105" s="34"/>
      <c r="CD105" s="126"/>
      <c r="CE105" s="34"/>
      <c r="CF105" s="34"/>
      <c r="CG105" s="34"/>
      <c r="CH105" s="34"/>
      <c r="CI105" s="127"/>
      <c r="CJ105" s="34"/>
      <c r="CK105" s="34"/>
      <c r="CL105" s="34"/>
      <c r="CM105" s="34"/>
      <c r="CN105" s="127"/>
      <c r="CO105" s="34"/>
      <c r="CP105" s="34"/>
      <c r="CQ105" s="34"/>
      <c r="CR105" s="34"/>
      <c r="CS105" s="126"/>
      <c r="CT105" s="34"/>
      <c r="CU105" s="34"/>
      <c r="CV105" s="34"/>
      <c r="CW105" s="34"/>
      <c r="CX105" s="127"/>
      <c r="CY105" s="34"/>
      <c r="CZ105" s="34"/>
      <c r="DA105" s="34"/>
      <c r="DB105" s="35"/>
    </row>
    <row r="106" spans="1:106" ht="12.75">
      <c r="A106" s="1">
        <v>98</v>
      </c>
      <c r="B106" s="124"/>
      <c r="C106" s="125"/>
      <c r="D106" s="126"/>
      <c r="E106" s="125"/>
      <c r="F106" s="125"/>
      <c r="G106" s="34"/>
      <c r="H106" s="125"/>
      <c r="I106" s="127"/>
      <c r="J106" s="125"/>
      <c r="K106" s="125"/>
      <c r="L106" s="125"/>
      <c r="M106" s="34"/>
      <c r="N106" s="127"/>
      <c r="O106" s="125"/>
      <c r="P106" s="125"/>
      <c r="Q106" s="125"/>
      <c r="R106" s="125"/>
      <c r="S106" s="126"/>
      <c r="T106" s="125"/>
      <c r="U106" s="125"/>
      <c r="V106" s="34"/>
      <c r="W106" s="125"/>
      <c r="X106" s="127"/>
      <c r="Y106" s="125"/>
      <c r="Z106" s="125"/>
      <c r="AA106" s="125"/>
      <c r="AB106" s="34"/>
      <c r="AC106" s="127"/>
      <c r="AD106" s="125"/>
      <c r="AE106" s="125"/>
      <c r="AF106" s="125"/>
      <c r="AG106" s="125"/>
      <c r="AH106" s="126"/>
      <c r="AI106" s="125"/>
      <c r="AJ106" s="125"/>
      <c r="AK106" s="34"/>
      <c r="AL106" s="125"/>
      <c r="AM106" s="127"/>
      <c r="AN106" s="125"/>
      <c r="AO106" s="125"/>
      <c r="AP106" s="125"/>
      <c r="AQ106" s="34"/>
      <c r="AR106" s="127"/>
      <c r="AS106" s="125"/>
      <c r="AT106" s="125"/>
      <c r="AU106" s="125"/>
      <c r="AV106" s="125"/>
      <c r="AW106" s="126"/>
      <c r="AX106" s="125"/>
      <c r="AY106" s="125"/>
      <c r="AZ106" s="34"/>
      <c r="BA106" s="125"/>
      <c r="BB106" s="127"/>
      <c r="BC106" s="125"/>
      <c r="BD106" s="125"/>
      <c r="BE106" s="125"/>
      <c r="BF106" s="34"/>
      <c r="BG106" s="127"/>
      <c r="BH106" s="125"/>
      <c r="BI106" s="125"/>
      <c r="BJ106" s="125"/>
      <c r="BK106" s="125"/>
      <c r="BL106" s="126"/>
      <c r="BM106" s="125"/>
      <c r="BN106" s="125"/>
      <c r="BO106" s="34"/>
      <c r="BP106" s="125"/>
      <c r="BQ106" s="127"/>
      <c r="BR106" s="125"/>
      <c r="BS106" s="125"/>
      <c r="BT106" s="125"/>
      <c r="BU106" s="34"/>
      <c r="BV106" s="127"/>
      <c r="BW106" s="125"/>
      <c r="BX106" s="125"/>
      <c r="BY106" s="125"/>
      <c r="BZ106" s="125"/>
      <c r="CA106" s="126"/>
      <c r="CB106" s="125"/>
      <c r="CC106" s="125"/>
      <c r="CD106" s="34"/>
      <c r="CE106" s="125"/>
      <c r="CF106" s="127"/>
      <c r="CG106" s="125"/>
      <c r="CH106" s="125"/>
      <c r="CI106" s="125"/>
      <c r="CJ106" s="34"/>
      <c r="CK106" s="127"/>
      <c r="CL106" s="125"/>
      <c r="CM106" s="125"/>
      <c r="CN106" s="125"/>
      <c r="CO106" s="125"/>
      <c r="CP106" s="126"/>
      <c r="CQ106" s="125"/>
      <c r="CR106" s="125"/>
      <c r="CS106" s="34"/>
      <c r="CT106" s="125"/>
      <c r="CU106" s="127"/>
      <c r="CV106" s="125"/>
      <c r="CW106" s="125"/>
      <c r="CX106" s="125"/>
      <c r="CY106" s="34"/>
      <c r="CZ106" s="127"/>
      <c r="DA106" s="125"/>
      <c r="DB106" s="128"/>
    </row>
    <row r="107" spans="1:106" ht="12.75">
      <c r="A107" s="1">
        <v>99</v>
      </c>
      <c r="B107" s="129"/>
      <c r="C107" s="34"/>
      <c r="D107" s="34"/>
      <c r="E107" s="34"/>
      <c r="F107" s="34"/>
      <c r="G107" s="126"/>
      <c r="H107" s="34"/>
      <c r="I107" s="125"/>
      <c r="J107" s="34"/>
      <c r="K107" s="34"/>
      <c r="L107" s="127"/>
      <c r="M107" s="34"/>
      <c r="N107" s="125"/>
      <c r="O107" s="34"/>
      <c r="P107" s="34"/>
      <c r="Q107" s="127"/>
      <c r="R107" s="34"/>
      <c r="S107" s="34"/>
      <c r="T107" s="34"/>
      <c r="U107" s="34"/>
      <c r="V107" s="126"/>
      <c r="W107" s="34"/>
      <c r="X107" s="125"/>
      <c r="Y107" s="34"/>
      <c r="Z107" s="34"/>
      <c r="AA107" s="127"/>
      <c r="AB107" s="34"/>
      <c r="AC107" s="125"/>
      <c r="AD107" s="34"/>
      <c r="AE107" s="34"/>
      <c r="AF107" s="127"/>
      <c r="AG107" s="34"/>
      <c r="AH107" s="34"/>
      <c r="AI107" s="34"/>
      <c r="AJ107" s="34"/>
      <c r="AK107" s="126"/>
      <c r="AL107" s="34"/>
      <c r="AM107" s="125"/>
      <c r="AN107" s="34"/>
      <c r="AO107" s="34"/>
      <c r="AP107" s="127"/>
      <c r="AQ107" s="34"/>
      <c r="AR107" s="125"/>
      <c r="AS107" s="34"/>
      <c r="AT107" s="34"/>
      <c r="AU107" s="127"/>
      <c r="AV107" s="34"/>
      <c r="AW107" s="34"/>
      <c r="AX107" s="34"/>
      <c r="AY107" s="34"/>
      <c r="AZ107" s="126"/>
      <c r="BA107" s="34"/>
      <c r="BB107" s="125"/>
      <c r="BC107" s="34"/>
      <c r="BD107" s="34"/>
      <c r="BE107" s="127"/>
      <c r="BF107" s="34"/>
      <c r="BG107" s="125"/>
      <c r="BH107" s="34"/>
      <c r="BI107" s="34"/>
      <c r="BJ107" s="127"/>
      <c r="BK107" s="34"/>
      <c r="BL107" s="34"/>
      <c r="BM107" s="34"/>
      <c r="BN107" s="34"/>
      <c r="BO107" s="126"/>
      <c r="BP107" s="34"/>
      <c r="BQ107" s="125"/>
      <c r="BR107" s="34"/>
      <c r="BS107" s="34"/>
      <c r="BT107" s="127"/>
      <c r="BU107" s="34"/>
      <c r="BV107" s="125"/>
      <c r="BW107" s="34"/>
      <c r="BX107" s="34"/>
      <c r="BY107" s="127"/>
      <c r="BZ107" s="34"/>
      <c r="CA107" s="34"/>
      <c r="CB107" s="34"/>
      <c r="CC107" s="34"/>
      <c r="CD107" s="126"/>
      <c r="CE107" s="34"/>
      <c r="CF107" s="125"/>
      <c r="CG107" s="34"/>
      <c r="CH107" s="34"/>
      <c r="CI107" s="127"/>
      <c r="CJ107" s="34"/>
      <c r="CK107" s="125"/>
      <c r="CL107" s="34"/>
      <c r="CM107" s="34"/>
      <c r="CN107" s="127"/>
      <c r="CO107" s="34"/>
      <c r="CP107" s="34"/>
      <c r="CQ107" s="34"/>
      <c r="CR107" s="34"/>
      <c r="CS107" s="126"/>
      <c r="CT107" s="34"/>
      <c r="CU107" s="125"/>
      <c r="CV107" s="34"/>
      <c r="CW107" s="34"/>
      <c r="CX107" s="127"/>
      <c r="CY107" s="34"/>
      <c r="CZ107" s="125"/>
      <c r="DA107" s="34"/>
      <c r="DB107" s="35"/>
    </row>
    <row r="108" spans="1:106" ht="12.75">
      <c r="A108" s="1">
        <v>100</v>
      </c>
      <c r="B108" s="131"/>
      <c r="C108" s="36"/>
      <c r="D108" s="132"/>
      <c r="E108" s="36"/>
      <c r="F108" s="36"/>
      <c r="G108" s="114"/>
      <c r="H108" s="36"/>
      <c r="I108" s="133"/>
      <c r="J108" s="36"/>
      <c r="K108" s="36"/>
      <c r="L108" s="36"/>
      <c r="M108" s="36"/>
      <c r="N108" s="133"/>
      <c r="O108" s="36"/>
      <c r="P108" s="36"/>
      <c r="Q108" s="36"/>
      <c r="R108" s="36"/>
      <c r="S108" s="132"/>
      <c r="T108" s="36"/>
      <c r="U108" s="36"/>
      <c r="V108" s="114"/>
      <c r="W108" s="36"/>
      <c r="X108" s="133"/>
      <c r="Y108" s="36"/>
      <c r="Z108" s="36"/>
      <c r="AA108" s="36"/>
      <c r="AB108" s="36"/>
      <c r="AC108" s="133"/>
      <c r="AD108" s="36"/>
      <c r="AE108" s="36"/>
      <c r="AF108" s="36"/>
      <c r="AG108" s="36"/>
      <c r="AH108" s="132"/>
      <c r="AI108" s="36"/>
      <c r="AJ108" s="36"/>
      <c r="AK108" s="114"/>
      <c r="AL108" s="36"/>
      <c r="AM108" s="133"/>
      <c r="AN108" s="36"/>
      <c r="AO108" s="36"/>
      <c r="AP108" s="36"/>
      <c r="AQ108" s="36"/>
      <c r="AR108" s="133"/>
      <c r="AS108" s="36"/>
      <c r="AT108" s="36"/>
      <c r="AU108" s="36"/>
      <c r="AV108" s="36"/>
      <c r="AW108" s="132"/>
      <c r="AX108" s="36"/>
      <c r="AY108" s="36"/>
      <c r="AZ108" s="114"/>
      <c r="BA108" s="36"/>
      <c r="BB108" s="133"/>
      <c r="BC108" s="36"/>
      <c r="BD108" s="36"/>
      <c r="BE108" s="36"/>
      <c r="BF108" s="36"/>
      <c r="BG108" s="133"/>
      <c r="BH108" s="36"/>
      <c r="BI108" s="36"/>
      <c r="BJ108" s="36"/>
      <c r="BK108" s="36"/>
      <c r="BL108" s="132"/>
      <c r="BM108" s="36"/>
      <c r="BN108" s="36"/>
      <c r="BO108" s="114"/>
      <c r="BP108" s="36"/>
      <c r="BQ108" s="133"/>
      <c r="BR108" s="36"/>
      <c r="BS108" s="36"/>
      <c r="BT108" s="36"/>
      <c r="BU108" s="36"/>
      <c r="BV108" s="133"/>
      <c r="BW108" s="36"/>
      <c r="BX108" s="36"/>
      <c r="BY108" s="36"/>
      <c r="BZ108" s="36"/>
      <c r="CA108" s="132"/>
      <c r="CB108" s="36"/>
      <c r="CC108" s="36"/>
      <c r="CD108" s="114"/>
      <c r="CE108" s="36"/>
      <c r="CF108" s="133"/>
      <c r="CG108" s="36"/>
      <c r="CH108" s="36"/>
      <c r="CI108" s="36"/>
      <c r="CJ108" s="36"/>
      <c r="CK108" s="133"/>
      <c r="CL108" s="36"/>
      <c r="CM108" s="36"/>
      <c r="CN108" s="36"/>
      <c r="CO108" s="36"/>
      <c r="CP108" s="132"/>
      <c r="CQ108" s="36"/>
      <c r="CR108" s="36"/>
      <c r="CS108" s="114"/>
      <c r="CT108" s="36"/>
      <c r="CU108" s="133"/>
      <c r="CV108" s="36"/>
      <c r="CW108" s="36"/>
      <c r="CX108" s="36"/>
      <c r="CY108" s="36"/>
      <c r="CZ108" s="133"/>
      <c r="DA108" s="36"/>
      <c r="DB108" s="37"/>
    </row>
    <row r="109" spans="1:101"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row>
    <row r="110" spans="1:101" ht="23.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182" t="s">
        <v>369</v>
      </c>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row>
    <row r="111" spans="1:101"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row>
    <row r="112" spans="1:101"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row>
    <row r="113" spans="1:101"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row>
    <row r="114" spans="1:101"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row>
  </sheetData>
  <sheetProtection/>
  <printOptions/>
  <pageMargins left="0.75" right="0.75" top="1" bottom="1" header="0.5" footer="0.5"/>
  <pageSetup fitToHeight="1" fitToWidth="1" horizontalDpi="1200" verticalDpi="1200" orientation="landscape" paperSize="9" scale="26" r:id="rId2"/>
  <drawing r:id="rId1"/>
</worksheet>
</file>

<file path=xl/worksheets/sheet12.xml><?xml version="1.0" encoding="utf-8"?>
<worksheet xmlns="http://schemas.openxmlformats.org/spreadsheetml/2006/main" xmlns:r="http://schemas.openxmlformats.org/officeDocument/2006/relationships">
  <dimension ref="A2:AL26"/>
  <sheetViews>
    <sheetView zoomScale="80" zoomScaleNormal="80" zoomScalePageLayoutView="0" workbookViewId="0" topLeftCell="A25">
      <selection activeCell="A27" sqref="A27"/>
    </sheetView>
  </sheetViews>
  <sheetFormatPr defaultColWidth="9.140625" defaultRowHeight="12.75"/>
  <cols>
    <col min="2" max="2" width="43.00390625" style="0" customWidth="1"/>
    <col min="3" max="3" width="7.8515625" style="0" customWidth="1"/>
    <col min="4" max="4" width="13.28125" style="0" bestFit="1" customWidth="1"/>
    <col min="5" max="5" width="13.7109375" style="0" bestFit="1" customWidth="1"/>
    <col min="6" max="7" width="11.8515625" style="0" bestFit="1" customWidth="1"/>
    <col min="8" max="12" width="13.421875" style="0" bestFit="1" customWidth="1"/>
    <col min="13" max="13" width="14.00390625" style="0" bestFit="1" customWidth="1"/>
    <col min="14" max="17" width="13.00390625" style="0" bestFit="1" customWidth="1"/>
  </cols>
  <sheetData>
    <row r="2" spans="2:38" ht="12.75">
      <c r="B2" s="177" t="str">
        <f>Workings!A3</f>
        <v>year of operation</v>
      </c>
      <c r="C2" s="35"/>
      <c r="D2" s="180">
        <f>Workings!D3</f>
        <v>1</v>
      </c>
      <c r="E2" s="180">
        <f>Workings!E3</f>
        <v>2</v>
      </c>
      <c r="F2" s="180">
        <f>Workings!F3</f>
        <v>3</v>
      </c>
      <c r="G2" s="180">
        <f>Workings!G3</f>
        <v>4</v>
      </c>
      <c r="H2" s="180">
        <f>Workings!H3</f>
        <v>5</v>
      </c>
      <c r="I2" s="180">
        <f>Workings!I3</f>
        <v>6</v>
      </c>
      <c r="J2" s="180">
        <f>Workings!J3</f>
        <v>7</v>
      </c>
      <c r="K2" s="180">
        <f>Workings!K3</f>
        <v>8</v>
      </c>
      <c r="L2" s="180">
        <f>Workings!L3</f>
        <v>9</v>
      </c>
      <c r="M2" s="180">
        <f>Workings!M3</f>
        <v>10</v>
      </c>
      <c r="N2" s="180">
        <f>Workings!N3</f>
        <v>11</v>
      </c>
      <c r="O2" s="180">
        <f>Workings!O3</f>
        <v>12</v>
      </c>
      <c r="P2" s="180">
        <f>Workings!P3</f>
        <v>13</v>
      </c>
      <c r="Q2" s="180">
        <f>Workings!Q3</f>
        <v>14</v>
      </c>
      <c r="R2" s="180">
        <f>Workings!R3</f>
        <v>15</v>
      </c>
      <c r="S2" s="180">
        <f>Workings!S3</f>
        <v>16</v>
      </c>
      <c r="T2" s="180">
        <f>Workings!T3</f>
        <v>17</v>
      </c>
      <c r="U2" s="180">
        <f>Workings!U3</f>
        <v>18</v>
      </c>
      <c r="V2" s="180">
        <f>Workings!V3</f>
        <v>19</v>
      </c>
      <c r="W2" s="180">
        <f>Workings!W3</f>
        <v>20</v>
      </c>
      <c r="X2" s="180">
        <f>Workings!X3</f>
        <v>21</v>
      </c>
      <c r="Y2" s="180">
        <f>Workings!Y3</f>
        <v>22</v>
      </c>
      <c r="Z2" s="180">
        <f>Workings!Z3</f>
        <v>23</v>
      </c>
      <c r="AA2" s="180">
        <f>Workings!AA3</f>
        <v>24</v>
      </c>
      <c r="AB2" s="180">
        <f>Workings!AB3</f>
        <v>25</v>
      </c>
      <c r="AC2" s="180">
        <f>Workings!AC3</f>
        <v>26</v>
      </c>
      <c r="AD2" s="180">
        <f>Workings!AD3</f>
        <v>27</v>
      </c>
      <c r="AE2" s="180">
        <f>Workings!AE3</f>
        <v>28</v>
      </c>
      <c r="AF2" s="180">
        <f>Workings!AF3</f>
        <v>29</v>
      </c>
      <c r="AG2" s="180">
        <f>Workings!AG3</f>
        <v>30</v>
      </c>
      <c r="AH2" s="180">
        <f>Workings!AH3</f>
        <v>31</v>
      </c>
      <c r="AI2" s="180">
        <f>Workings!AI3</f>
        <v>32</v>
      </c>
      <c r="AJ2" s="180">
        <f>Workings!AJ3</f>
        <v>33</v>
      </c>
      <c r="AK2" s="180">
        <f>Workings!AK3</f>
        <v>34</v>
      </c>
      <c r="AL2" s="180">
        <f>Workings!AL3</f>
        <v>35</v>
      </c>
    </row>
    <row r="3" spans="2:38" ht="12.75">
      <c r="B3" s="178"/>
      <c r="C3" s="37"/>
      <c r="D3" s="180">
        <f>Workings!D4</f>
        <v>2011</v>
      </c>
      <c r="E3" s="180">
        <f>Workings!E4</f>
        <v>2012</v>
      </c>
      <c r="F3" s="180">
        <f>Workings!F4</f>
        <v>2013</v>
      </c>
      <c r="G3" s="180">
        <f>Workings!G4</f>
        <v>2014</v>
      </c>
      <c r="H3" s="180">
        <f>Workings!H4</f>
        <v>2015</v>
      </c>
      <c r="I3" s="180">
        <f>Workings!I4</f>
        <v>2016</v>
      </c>
      <c r="J3" s="180">
        <f>Workings!J4</f>
        <v>2017</v>
      </c>
      <c r="K3" s="180">
        <f>Workings!K4</f>
        <v>2018</v>
      </c>
      <c r="L3" s="180">
        <f>Workings!L4</f>
        <v>2019</v>
      </c>
      <c r="M3" s="180">
        <f>Workings!M4</f>
        <v>2020</v>
      </c>
      <c r="N3" s="180">
        <f>Workings!N4</f>
        <v>2021</v>
      </c>
      <c r="O3" s="180">
        <f>Workings!O4</f>
        <v>2022</v>
      </c>
      <c r="P3" s="180">
        <f>Workings!P4</f>
        <v>2023</v>
      </c>
      <c r="Q3" s="180">
        <f>Workings!Q4</f>
        <v>2024</v>
      </c>
      <c r="R3" s="180">
        <f>Workings!R4</f>
        <v>2025</v>
      </c>
      <c r="S3" s="180">
        <f>Workings!S4</f>
        <v>2026</v>
      </c>
      <c r="T3" s="180">
        <f>Workings!T4</f>
        <v>2027</v>
      </c>
      <c r="U3" s="180">
        <f>Workings!U4</f>
        <v>2028</v>
      </c>
      <c r="V3" s="180">
        <f>Workings!V4</f>
        <v>2029</v>
      </c>
      <c r="W3" s="180">
        <f>Workings!W4</f>
        <v>2030</v>
      </c>
      <c r="X3" s="180">
        <f>Workings!X4</f>
        <v>2031</v>
      </c>
      <c r="Y3" s="180">
        <f>Workings!Y4</f>
        <v>2032</v>
      </c>
      <c r="Z3" s="180">
        <f>Workings!Z4</f>
        <v>2033</v>
      </c>
      <c r="AA3" s="180">
        <f>Workings!AA4</f>
        <v>2034</v>
      </c>
      <c r="AB3" s="180">
        <f>Workings!AB4</f>
        <v>2035</v>
      </c>
      <c r="AC3" s="180">
        <f>Workings!AC4</f>
        <v>2036</v>
      </c>
      <c r="AD3" s="180">
        <f>Workings!AD4</f>
        <v>2037</v>
      </c>
      <c r="AE3" s="180">
        <f>Workings!AE4</f>
        <v>2038</v>
      </c>
      <c r="AF3" s="180">
        <f>Workings!AF4</f>
        <v>2039</v>
      </c>
      <c r="AG3" s="180">
        <f>Workings!AG4</f>
        <v>2040</v>
      </c>
      <c r="AH3" s="180">
        <f>Workings!AH4</f>
        <v>2041</v>
      </c>
      <c r="AI3" s="180">
        <f>Workings!AI4</f>
        <v>2042</v>
      </c>
      <c r="AJ3" s="180">
        <f>Workings!AJ4</f>
        <v>2043</v>
      </c>
      <c r="AK3" s="180">
        <f>Workings!AK4</f>
        <v>2044</v>
      </c>
      <c r="AL3" s="180">
        <f>Workings!AL4</f>
        <v>2045</v>
      </c>
    </row>
    <row r="4" spans="2:38" ht="12.75">
      <c r="B4" s="67" t="s">
        <v>184</v>
      </c>
      <c r="D4" s="39">
        <f>'Input and Output'!C163/1600</f>
        <v>0.8</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2:38" ht="12.75">
      <c r="B5" s="67" t="s">
        <v>172</v>
      </c>
      <c r="D5" s="39">
        <f>'Input and Output'!C164/1600</f>
        <v>500</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2:38" ht="12.75">
      <c r="B6" s="67" t="s">
        <v>231</v>
      </c>
      <c r="D6" s="39">
        <f>'Input and Output'!C166/1600</f>
        <v>7812.5</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2:38" ht="12.75">
      <c r="B7" s="67" t="s">
        <v>28</v>
      </c>
      <c r="D7" s="39">
        <f>'Input and Output'!C170/1600/35</f>
        <v>0.15714285714285714</v>
      </c>
      <c r="E7" s="175">
        <f>D7</f>
        <v>0.15714285714285714</v>
      </c>
      <c r="F7" s="175">
        <f>E7</f>
        <v>0.15714285714285714</v>
      </c>
      <c r="G7" s="175">
        <f>F7</f>
        <v>0.15714285714285714</v>
      </c>
      <c r="H7" s="175">
        <f>G7</f>
        <v>0.15714285714285714</v>
      </c>
      <c r="I7" s="175">
        <f aca="true" t="shared" si="0" ref="I7:AL7">H7</f>
        <v>0.15714285714285714</v>
      </c>
      <c r="J7" s="175">
        <f t="shared" si="0"/>
        <v>0.15714285714285714</v>
      </c>
      <c r="K7" s="175">
        <f t="shared" si="0"/>
        <v>0.15714285714285714</v>
      </c>
      <c r="L7" s="175">
        <f t="shared" si="0"/>
        <v>0.15714285714285714</v>
      </c>
      <c r="M7" s="175">
        <f t="shared" si="0"/>
        <v>0.15714285714285714</v>
      </c>
      <c r="N7" s="175">
        <f t="shared" si="0"/>
        <v>0.15714285714285714</v>
      </c>
      <c r="O7" s="175">
        <f t="shared" si="0"/>
        <v>0.15714285714285714</v>
      </c>
      <c r="P7" s="175">
        <f t="shared" si="0"/>
        <v>0.15714285714285714</v>
      </c>
      <c r="Q7" s="175">
        <f t="shared" si="0"/>
        <v>0.15714285714285714</v>
      </c>
      <c r="R7" s="175">
        <f t="shared" si="0"/>
        <v>0.15714285714285714</v>
      </c>
      <c r="S7" s="175">
        <f t="shared" si="0"/>
        <v>0.15714285714285714</v>
      </c>
      <c r="T7" s="175">
        <f t="shared" si="0"/>
        <v>0.15714285714285714</v>
      </c>
      <c r="U7" s="175">
        <f t="shared" si="0"/>
        <v>0.15714285714285714</v>
      </c>
      <c r="V7" s="175">
        <f t="shared" si="0"/>
        <v>0.15714285714285714</v>
      </c>
      <c r="W7" s="175">
        <f t="shared" si="0"/>
        <v>0.15714285714285714</v>
      </c>
      <c r="X7" s="175">
        <f t="shared" si="0"/>
        <v>0.15714285714285714</v>
      </c>
      <c r="Y7" s="175">
        <f t="shared" si="0"/>
        <v>0.15714285714285714</v>
      </c>
      <c r="Z7" s="175">
        <f t="shared" si="0"/>
        <v>0.15714285714285714</v>
      </c>
      <c r="AA7" s="175">
        <f t="shared" si="0"/>
        <v>0.15714285714285714</v>
      </c>
      <c r="AB7" s="175">
        <f t="shared" si="0"/>
        <v>0.15714285714285714</v>
      </c>
      <c r="AC7" s="175">
        <f t="shared" si="0"/>
        <v>0.15714285714285714</v>
      </c>
      <c r="AD7" s="175">
        <f t="shared" si="0"/>
        <v>0.15714285714285714</v>
      </c>
      <c r="AE7" s="175">
        <f t="shared" si="0"/>
        <v>0.15714285714285714</v>
      </c>
      <c r="AF7" s="175">
        <f t="shared" si="0"/>
        <v>0.15714285714285714</v>
      </c>
      <c r="AG7" s="175">
        <f t="shared" si="0"/>
        <v>0.15714285714285714</v>
      </c>
      <c r="AH7" s="175">
        <f t="shared" si="0"/>
        <v>0.15714285714285714</v>
      </c>
      <c r="AI7" s="175">
        <f t="shared" si="0"/>
        <v>0.15714285714285714</v>
      </c>
      <c r="AJ7" s="175">
        <f t="shared" si="0"/>
        <v>0.15714285714285714</v>
      </c>
      <c r="AK7" s="175">
        <f t="shared" si="0"/>
        <v>0.15714285714285714</v>
      </c>
      <c r="AL7" s="175">
        <f t="shared" si="0"/>
        <v>0.15714285714285714</v>
      </c>
    </row>
    <row r="8" spans="2:38" ht="12.75">
      <c r="B8" s="67" t="s">
        <v>171</v>
      </c>
      <c r="D8" s="33">
        <f>E8+'Input and Output'!C165/1600</f>
        <v>2000</v>
      </c>
      <c r="E8" s="33">
        <f>'Input and Output'!C171/1600/35</f>
        <v>1250</v>
      </c>
      <c r="F8" s="33">
        <f>E8</f>
        <v>1250</v>
      </c>
      <c r="G8" s="33">
        <f aca="true" t="shared" si="1" ref="G8:AL8">F8</f>
        <v>1250</v>
      </c>
      <c r="H8" s="33">
        <f t="shared" si="1"/>
        <v>1250</v>
      </c>
      <c r="I8" s="33">
        <f t="shared" si="1"/>
        <v>1250</v>
      </c>
      <c r="J8" s="33">
        <f t="shared" si="1"/>
        <v>1250</v>
      </c>
      <c r="K8" s="33">
        <f t="shared" si="1"/>
        <v>1250</v>
      </c>
      <c r="L8" s="33">
        <f t="shared" si="1"/>
        <v>1250</v>
      </c>
      <c r="M8" s="33">
        <f t="shared" si="1"/>
        <v>1250</v>
      </c>
      <c r="N8" s="33">
        <f t="shared" si="1"/>
        <v>1250</v>
      </c>
      <c r="O8" s="33">
        <f t="shared" si="1"/>
        <v>1250</v>
      </c>
      <c r="P8" s="33">
        <f t="shared" si="1"/>
        <v>1250</v>
      </c>
      <c r="Q8" s="33">
        <f t="shared" si="1"/>
        <v>1250</v>
      </c>
      <c r="R8" s="33">
        <f t="shared" si="1"/>
        <v>1250</v>
      </c>
      <c r="S8" s="33">
        <f t="shared" si="1"/>
        <v>1250</v>
      </c>
      <c r="T8" s="33">
        <f t="shared" si="1"/>
        <v>1250</v>
      </c>
      <c r="U8" s="33">
        <f t="shared" si="1"/>
        <v>1250</v>
      </c>
      <c r="V8" s="33">
        <f t="shared" si="1"/>
        <v>1250</v>
      </c>
      <c r="W8" s="33">
        <f t="shared" si="1"/>
        <v>1250</v>
      </c>
      <c r="X8" s="33">
        <f t="shared" si="1"/>
        <v>1250</v>
      </c>
      <c r="Y8" s="33">
        <f t="shared" si="1"/>
        <v>1250</v>
      </c>
      <c r="Z8" s="33">
        <f t="shared" si="1"/>
        <v>1250</v>
      </c>
      <c r="AA8" s="33">
        <f t="shared" si="1"/>
        <v>1250</v>
      </c>
      <c r="AB8" s="33">
        <f t="shared" si="1"/>
        <v>1250</v>
      </c>
      <c r="AC8" s="33">
        <f t="shared" si="1"/>
        <v>1250</v>
      </c>
      <c r="AD8" s="33">
        <f t="shared" si="1"/>
        <v>1250</v>
      </c>
      <c r="AE8" s="33">
        <f t="shared" si="1"/>
        <v>1250</v>
      </c>
      <c r="AF8" s="33">
        <f t="shared" si="1"/>
        <v>1250</v>
      </c>
      <c r="AG8" s="33">
        <f t="shared" si="1"/>
        <v>1250</v>
      </c>
      <c r="AH8" s="33">
        <f t="shared" si="1"/>
        <v>1250</v>
      </c>
      <c r="AI8" s="33">
        <f t="shared" si="1"/>
        <v>1250</v>
      </c>
      <c r="AJ8" s="33">
        <f t="shared" si="1"/>
        <v>1250</v>
      </c>
      <c r="AK8" s="33">
        <f t="shared" si="1"/>
        <v>1250</v>
      </c>
      <c r="AL8" s="33">
        <f t="shared" si="1"/>
        <v>1250</v>
      </c>
    </row>
    <row r="9" spans="2:38" ht="12.75">
      <c r="B9" s="67" t="s">
        <v>234</v>
      </c>
      <c r="D9" s="33"/>
      <c r="E9" s="33">
        <f>'Input and Output'!C172/1600</f>
        <v>10416.666666666666</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2:38" ht="12.75">
      <c r="B10" s="67" t="s">
        <v>237</v>
      </c>
      <c r="D10" s="33"/>
      <c r="E10" s="33">
        <f>'Input and Output'!C173/7/1600</f>
        <v>2500</v>
      </c>
      <c r="F10" s="33">
        <f aca="true" t="shared" si="2" ref="F10:K10">E10</f>
        <v>2500</v>
      </c>
      <c r="G10" s="33">
        <f t="shared" si="2"/>
        <v>2500</v>
      </c>
      <c r="H10" s="33">
        <f t="shared" si="2"/>
        <v>2500</v>
      </c>
      <c r="I10" s="33">
        <f t="shared" si="2"/>
        <v>2500</v>
      </c>
      <c r="J10" s="33">
        <f t="shared" si="2"/>
        <v>2500</v>
      </c>
      <c r="K10" s="33">
        <f t="shared" si="2"/>
        <v>2500</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2:38" ht="12.75">
      <c r="B11" s="67" t="s">
        <v>238</v>
      </c>
      <c r="D11" s="33"/>
      <c r="E11" s="33"/>
      <c r="F11" s="33"/>
      <c r="G11" s="33"/>
      <c r="H11" s="33"/>
      <c r="I11" s="33"/>
      <c r="J11" s="33"/>
      <c r="K11" s="33"/>
      <c r="L11" s="33">
        <f>'Input and Output'!C174/1600/27</f>
        <v>1250</v>
      </c>
      <c r="M11" s="33">
        <f>L11</f>
        <v>1250</v>
      </c>
      <c r="N11" s="33">
        <f>M11</f>
        <v>1250</v>
      </c>
      <c r="O11" s="33">
        <f>N11</f>
        <v>1250</v>
      </c>
      <c r="P11" s="33">
        <f>O11</f>
        <v>1250</v>
      </c>
      <c r="Q11" s="33">
        <f aca="true" t="shared" si="3" ref="Q11:AL11">P11</f>
        <v>1250</v>
      </c>
      <c r="R11" s="33">
        <f t="shared" si="3"/>
        <v>1250</v>
      </c>
      <c r="S11" s="33">
        <f t="shared" si="3"/>
        <v>1250</v>
      </c>
      <c r="T11" s="33">
        <f t="shared" si="3"/>
        <v>1250</v>
      </c>
      <c r="U11" s="33">
        <f t="shared" si="3"/>
        <v>1250</v>
      </c>
      <c r="V11" s="33">
        <f t="shared" si="3"/>
        <v>1250</v>
      </c>
      <c r="W11" s="33">
        <f t="shared" si="3"/>
        <v>1250</v>
      </c>
      <c r="X11" s="33">
        <f t="shared" si="3"/>
        <v>1250</v>
      </c>
      <c r="Y11" s="33">
        <f t="shared" si="3"/>
        <v>1250</v>
      </c>
      <c r="Z11" s="33">
        <f t="shared" si="3"/>
        <v>1250</v>
      </c>
      <c r="AA11" s="33">
        <f t="shared" si="3"/>
        <v>1250</v>
      </c>
      <c r="AB11" s="33">
        <f t="shared" si="3"/>
        <v>1250</v>
      </c>
      <c r="AC11" s="33">
        <f t="shared" si="3"/>
        <v>1250</v>
      </c>
      <c r="AD11" s="33">
        <f t="shared" si="3"/>
        <v>1250</v>
      </c>
      <c r="AE11" s="33">
        <f t="shared" si="3"/>
        <v>1250</v>
      </c>
      <c r="AF11" s="33">
        <f t="shared" si="3"/>
        <v>1250</v>
      </c>
      <c r="AG11" s="33">
        <f t="shared" si="3"/>
        <v>1250</v>
      </c>
      <c r="AH11" s="33">
        <f t="shared" si="3"/>
        <v>1250</v>
      </c>
      <c r="AI11" s="33">
        <f t="shared" si="3"/>
        <v>1250</v>
      </c>
      <c r="AJ11" s="33">
        <f t="shared" si="3"/>
        <v>1250</v>
      </c>
      <c r="AK11" s="33">
        <f t="shared" si="3"/>
        <v>1250</v>
      </c>
      <c r="AL11" s="33">
        <f t="shared" si="3"/>
        <v>1250</v>
      </c>
    </row>
    <row r="12" spans="2:38" ht="12.75">
      <c r="B12" s="67" t="s">
        <v>233</v>
      </c>
      <c r="D12" s="33"/>
      <c r="E12" s="33"/>
      <c r="F12" s="33"/>
      <c r="G12" s="33"/>
      <c r="H12" s="33">
        <f>'Input and Output'!C175/1600/30</f>
        <v>5000</v>
      </c>
      <c r="I12" s="33">
        <f>H12</f>
        <v>5000</v>
      </c>
      <c r="J12" s="33">
        <f aca="true" t="shared" si="4" ref="J12:AL12">I12</f>
        <v>5000</v>
      </c>
      <c r="K12" s="33">
        <f t="shared" si="4"/>
        <v>5000</v>
      </c>
      <c r="L12" s="33">
        <f t="shared" si="4"/>
        <v>5000</v>
      </c>
      <c r="M12" s="33">
        <f t="shared" si="4"/>
        <v>5000</v>
      </c>
      <c r="N12" s="33">
        <f t="shared" si="4"/>
        <v>5000</v>
      </c>
      <c r="O12" s="33">
        <f t="shared" si="4"/>
        <v>5000</v>
      </c>
      <c r="P12" s="33">
        <f t="shared" si="4"/>
        <v>5000</v>
      </c>
      <c r="Q12" s="33">
        <f t="shared" si="4"/>
        <v>5000</v>
      </c>
      <c r="R12" s="33">
        <f t="shared" si="4"/>
        <v>5000</v>
      </c>
      <c r="S12" s="33">
        <f t="shared" si="4"/>
        <v>5000</v>
      </c>
      <c r="T12" s="33">
        <f t="shared" si="4"/>
        <v>5000</v>
      </c>
      <c r="U12" s="33">
        <f t="shared" si="4"/>
        <v>5000</v>
      </c>
      <c r="V12" s="33">
        <f t="shared" si="4"/>
        <v>5000</v>
      </c>
      <c r="W12" s="33">
        <f t="shared" si="4"/>
        <v>5000</v>
      </c>
      <c r="X12" s="33">
        <f t="shared" si="4"/>
        <v>5000</v>
      </c>
      <c r="Y12" s="33">
        <f t="shared" si="4"/>
        <v>5000</v>
      </c>
      <c r="Z12" s="33">
        <f t="shared" si="4"/>
        <v>5000</v>
      </c>
      <c r="AA12" s="33">
        <f t="shared" si="4"/>
        <v>5000</v>
      </c>
      <c r="AB12" s="33">
        <f t="shared" si="4"/>
        <v>5000</v>
      </c>
      <c r="AC12" s="33">
        <f t="shared" si="4"/>
        <v>5000</v>
      </c>
      <c r="AD12" s="33">
        <f t="shared" si="4"/>
        <v>5000</v>
      </c>
      <c r="AE12" s="33">
        <f t="shared" si="4"/>
        <v>5000</v>
      </c>
      <c r="AF12" s="33">
        <f t="shared" si="4"/>
        <v>5000</v>
      </c>
      <c r="AG12" s="33">
        <f t="shared" si="4"/>
        <v>5000</v>
      </c>
      <c r="AH12" s="33">
        <f t="shared" si="4"/>
        <v>5000</v>
      </c>
      <c r="AI12" s="33">
        <f t="shared" si="4"/>
        <v>5000</v>
      </c>
      <c r="AJ12" s="33">
        <f t="shared" si="4"/>
        <v>5000</v>
      </c>
      <c r="AK12" s="33">
        <f t="shared" si="4"/>
        <v>5000</v>
      </c>
      <c r="AL12" s="33">
        <f t="shared" si="4"/>
        <v>5000</v>
      </c>
    </row>
    <row r="13" spans="2:38" ht="12.75">
      <c r="B13" s="67" t="s">
        <v>240</v>
      </c>
      <c r="D13" s="33"/>
      <c r="E13" s="33"/>
      <c r="F13" s="33"/>
      <c r="G13" s="33"/>
      <c r="H13" s="33"/>
      <c r="I13" s="33"/>
      <c r="J13" s="33"/>
      <c r="K13" s="33"/>
      <c r="L13" s="33"/>
      <c r="M13" s="33">
        <f>'Input and Output'!C176/1600</f>
        <v>900.0000000000001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row>
    <row r="14" spans="2:38" ht="12.75">
      <c r="B14" s="67" t="s">
        <v>241</v>
      </c>
      <c r="D14" s="33"/>
      <c r="E14" s="33"/>
      <c r="F14" s="33"/>
      <c r="G14" s="33"/>
      <c r="H14" s="33"/>
      <c r="I14" s="33"/>
      <c r="J14" s="33"/>
      <c r="K14" s="33"/>
      <c r="L14" s="33"/>
      <c r="M14" s="33"/>
      <c r="N14" s="33"/>
      <c r="O14" s="33"/>
      <c r="P14" s="33"/>
      <c r="Q14" s="33"/>
      <c r="R14" s="33"/>
      <c r="S14" s="33"/>
      <c r="T14" s="33"/>
      <c r="U14" s="33"/>
      <c r="V14" s="33"/>
      <c r="W14" s="33">
        <f>'Input and Output'!C177/1600</f>
        <v>427.5</v>
      </c>
      <c r="X14" s="33"/>
      <c r="Y14" s="33"/>
      <c r="Z14" s="33"/>
      <c r="AA14" s="33"/>
      <c r="AB14" s="33"/>
      <c r="AC14" s="33"/>
      <c r="AD14" s="33"/>
      <c r="AE14" s="33"/>
      <c r="AF14" s="33"/>
      <c r="AG14" s="33"/>
      <c r="AH14" s="33"/>
      <c r="AI14" s="33"/>
      <c r="AJ14" s="33"/>
      <c r="AK14" s="33"/>
      <c r="AL14" s="33"/>
    </row>
    <row r="15" spans="2:38" ht="12.75">
      <c r="B15" s="67" t="s">
        <v>242</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f>'Input and Output'!C178/1600</f>
        <v>243.67500000000004</v>
      </c>
      <c r="AC15" s="33"/>
      <c r="AD15" s="33"/>
      <c r="AE15" s="33"/>
      <c r="AF15" s="33"/>
      <c r="AG15" s="33"/>
      <c r="AH15" s="33"/>
      <c r="AI15" s="33"/>
      <c r="AJ15" s="33"/>
      <c r="AK15" s="33"/>
      <c r="AL15" s="33"/>
    </row>
    <row r="16" spans="2:38" ht="12.75">
      <c r="B16" s="67" t="s">
        <v>243</v>
      </c>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f>'Input and Output'!C179/1600</f>
        <v>243.67500000000004</v>
      </c>
    </row>
    <row r="17" spans="2:38" ht="12.75">
      <c r="B17" s="67" t="s">
        <v>287</v>
      </c>
      <c r="D17" s="33"/>
      <c r="E17" s="33"/>
      <c r="F17" s="33"/>
      <c r="G17" s="33"/>
      <c r="H17" s="33"/>
      <c r="I17" s="33"/>
      <c r="J17" s="33"/>
      <c r="K17" s="33"/>
      <c r="L17" s="33">
        <v>0.5</v>
      </c>
      <c r="M17" s="33">
        <f>'Input and Output'!C180/1600/25</f>
        <v>0.1</v>
      </c>
      <c r="N17" s="33">
        <f>M17</f>
        <v>0.1</v>
      </c>
      <c r="O17" s="33">
        <f aca="true" t="shared" si="5" ref="O17:AL17">N17</f>
        <v>0.1</v>
      </c>
      <c r="P17" s="33">
        <f t="shared" si="5"/>
        <v>0.1</v>
      </c>
      <c r="Q17" s="33">
        <f t="shared" si="5"/>
        <v>0.1</v>
      </c>
      <c r="R17" s="33">
        <f t="shared" si="5"/>
        <v>0.1</v>
      </c>
      <c r="S17" s="33">
        <f t="shared" si="5"/>
        <v>0.1</v>
      </c>
      <c r="T17" s="33">
        <f t="shared" si="5"/>
        <v>0.1</v>
      </c>
      <c r="U17" s="33">
        <f t="shared" si="5"/>
        <v>0.1</v>
      </c>
      <c r="V17" s="33">
        <f t="shared" si="5"/>
        <v>0.1</v>
      </c>
      <c r="W17" s="33">
        <f t="shared" si="5"/>
        <v>0.1</v>
      </c>
      <c r="X17" s="33">
        <f t="shared" si="5"/>
        <v>0.1</v>
      </c>
      <c r="Y17" s="33">
        <f t="shared" si="5"/>
        <v>0.1</v>
      </c>
      <c r="Z17" s="33">
        <f t="shared" si="5"/>
        <v>0.1</v>
      </c>
      <c r="AA17" s="33">
        <f t="shared" si="5"/>
        <v>0.1</v>
      </c>
      <c r="AB17" s="33">
        <f t="shared" si="5"/>
        <v>0.1</v>
      </c>
      <c r="AC17" s="33">
        <f t="shared" si="5"/>
        <v>0.1</v>
      </c>
      <c r="AD17" s="33">
        <f t="shared" si="5"/>
        <v>0.1</v>
      </c>
      <c r="AE17" s="33">
        <f t="shared" si="5"/>
        <v>0.1</v>
      </c>
      <c r="AF17" s="33">
        <f t="shared" si="5"/>
        <v>0.1</v>
      </c>
      <c r="AG17" s="33">
        <f t="shared" si="5"/>
        <v>0.1</v>
      </c>
      <c r="AH17" s="33">
        <f t="shared" si="5"/>
        <v>0.1</v>
      </c>
      <c r="AI17" s="33">
        <f t="shared" si="5"/>
        <v>0.1</v>
      </c>
      <c r="AJ17" s="33">
        <f t="shared" si="5"/>
        <v>0.1</v>
      </c>
      <c r="AK17" s="33">
        <f t="shared" si="5"/>
        <v>0.1</v>
      </c>
      <c r="AL17" s="33">
        <f t="shared" si="5"/>
        <v>0.1</v>
      </c>
    </row>
    <row r="18" spans="2:38" ht="12.75">
      <c r="B18" s="67" t="s">
        <v>286</v>
      </c>
      <c r="D18" s="33">
        <f>'Input and Output'!C167/1600</f>
        <v>3</v>
      </c>
      <c r="E18" s="33">
        <f>'Input and Output'!C181/1600/34</f>
        <v>3</v>
      </c>
      <c r="F18" s="33">
        <f>E18</f>
        <v>3</v>
      </c>
      <c r="G18" s="33">
        <f aca="true" t="shared" si="6" ref="G18:AL18">F18</f>
        <v>3</v>
      </c>
      <c r="H18" s="33">
        <f t="shared" si="6"/>
        <v>3</v>
      </c>
      <c r="I18" s="33">
        <f t="shared" si="6"/>
        <v>3</v>
      </c>
      <c r="J18" s="33">
        <f t="shared" si="6"/>
        <v>3</v>
      </c>
      <c r="K18" s="33">
        <f t="shared" si="6"/>
        <v>3</v>
      </c>
      <c r="L18" s="33">
        <f t="shared" si="6"/>
        <v>3</v>
      </c>
      <c r="M18" s="33">
        <f t="shared" si="6"/>
        <v>3</v>
      </c>
      <c r="N18" s="33">
        <f t="shared" si="6"/>
        <v>3</v>
      </c>
      <c r="O18" s="33">
        <f t="shared" si="6"/>
        <v>3</v>
      </c>
      <c r="P18" s="33">
        <f t="shared" si="6"/>
        <v>3</v>
      </c>
      <c r="Q18" s="33">
        <f t="shared" si="6"/>
        <v>3</v>
      </c>
      <c r="R18" s="33">
        <f t="shared" si="6"/>
        <v>3</v>
      </c>
      <c r="S18" s="33">
        <f t="shared" si="6"/>
        <v>3</v>
      </c>
      <c r="T18" s="33">
        <f t="shared" si="6"/>
        <v>3</v>
      </c>
      <c r="U18" s="33">
        <f t="shared" si="6"/>
        <v>3</v>
      </c>
      <c r="V18" s="33">
        <f t="shared" si="6"/>
        <v>3</v>
      </c>
      <c r="W18" s="33">
        <f t="shared" si="6"/>
        <v>3</v>
      </c>
      <c r="X18" s="33">
        <f t="shared" si="6"/>
        <v>3</v>
      </c>
      <c r="Y18" s="33">
        <f t="shared" si="6"/>
        <v>3</v>
      </c>
      <c r="Z18" s="33">
        <f t="shared" si="6"/>
        <v>3</v>
      </c>
      <c r="AA18" s="33">
        <f t="shared" si="6"/>
        <v>3</v>
      </c>
      <c r="AB18" s="33">
        <f t="shared" si="6"/>
        <v>3</v>
      </c>
      <c r="AC18" s="33">
        <f t="shared" si="6"/>
        <v>3</v>
      </c>
      <c r="AD18" s="33">
        <f t="shared" si="6"/>
        <v>3</v>
      </c>
      <c r="AE18" s="33">
        <f t="shared" si="6"/>
        <v>3</v>
      </c>
      <c r="AF18" s="33">
        <f t="shared" si="6"/>
        <v>3</v>
      </c>
      <c r="AG18" s="33">
        <f t="shared" si="6"/>
        <v>3</v>
      </c>
      <c r="AH18" s="33">
        <f t="shared" si="6"/>
        <v>3</v>
      </c>
      <c r="AI18" s="33">
        <f t="shared" si="6"/>
        <v>3</v>
      </c>
      <c r="AJ18" s="33">
        <f t="shared" si="6"/>
        <v>3</v>
      </c>
      <c r="AK18" s="33">
        <f t="shared" si="6"/>
        <v>3</v>
      </c>
      <c r="AL18" s="33">
        <f t="shared" si="6"/>
        <v>3</v>
      </c>
    </row>
    <row r="19" spans="2:38" ht="12.75">
      <c r="B19" s="67"/>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2:38" ht="12.75">
      <c r="B20" s="179" t="s">
        <v>347</v>
      </c>
      <c r="D20" s="175">
        <f>0.5*SUM(D4:D18)</f>
        <v>5158.228571428571</v>
      </c>
      <c r="E20" s="175">
        <f aca="true" t="shared" si="7" ref="E20:AL20">0.5*SUM(E4:E18)</f>
        <v>7084.911904761904</v>
      </c>
      <c r="F20" s="175">
        <f t="shared" si="7"/>
        <v>1876.5785714285714</v>
      </c>
      <c r="G20" s="175">
        <f t="shared" si="7"/>
        <v>1876.5785714285714</v>
      </c>
      <c r="H20" s="175">
        <f t="shared" si="7"/>
        <v>4376.578571428571</v>
      </c>
      <c r="I20" s="175">
        <f t="shared" si="7"/>
        <v>4376.578571428571</v>
      </c>
      <c r="J20" s="175">
        <f t="shared" si="7"/>
        <v>4376.578571428571</v>
      </c>
      <c r="K20" s="175">
        <f t="shared" si="7"/>
        <v>4376.578571428571</v>
      </c>
      <c r="L20" s="175">
        <f t="shared" si="7"/>
        <v>3751.828571428571</v>
      </c>
      <c r="M20" s="175">
        <f t="shared" si="7"/>
        <v>4201.628571428571</v>
      </c>
      <c r="N20" s="175">
        <f t="shared" si="7"/>
        <v>3751.6285714285714</v>
      </c>
      <c r="O20" s="175">
        <f t="shared" si="7"/>
        <v>3751.6285714285714</v>
      </c>
      <c r="P20" s="175">
        <f t="shared" si="7"/>
        <v>3751.6285714285714</v>
      </c>
      <c r="Q20" s="175">
        <f t="shared" si="7"/>
        <v>3751.6285714285714</v>
      </c>
      <c r="R20" s="175">
        <f t="shared" si="7"/>
        <v>3751.6285714285714</v>
      </c>
      <c r="S20" s="175">
        <f t="shared" si="7"/>
        <v>3751.6285714285714</v>
      </c>
      <c r="T20" s="175">
        <f t="shared" si="7"/>
        <v>3751.6285714285714</v>
      </c>
      <c r="U20" s="175">
        <f t="shared" si="7"/>
        <v>3751.6285714285714</v>
      </c>
      <c r="V20" s="175">
        <f t="shared" si="7"/>
        <v>3751.6285714285714</v>
      </c>
      <c r="W20" s="175">
        <f t="shared" si="7"/>
        <v>3965.3785714285714</v>
      </c>
      <c r="X20" s="175">
        <f t="shared" si="7"/>
        <v>3751.6285714285714</v>
      </c>
      <c r="Y20" s="175">
        <f t="shared" si="7"/>
        <v>3751.6285714285714</v>
      </c>
      <c r="Z20" s="175">
        <f t="shared" si="7"/>
        <v>3751.6285714285714</v>
      </c>
      <c r="AA20" s="175">
        <f t="shared" si="7"/>
        <v>3751.6285714285714</v>
      </c>
      <c r="AB20" s="175">
        <f t="shared" si="7"/>
        <v>3873.4660714285715</v>
      </c>
      <c r="AC20" s="175">
        <f t="shared" si="7"/>
        <v>3751.6285714285714</v>
      </c>
      <c r="AD20" s="175">
        <f t="shared" si="7"/>
        <v>3751.6285714285714</v>
      </c>
      <c r="AE20" s="175">
        <f t="shared" si="7"/>
        <v>3751.6285714285714</v>
      </c>
      <c r="AF20" s="175">
        <f t="shared" si="7"/>
        <v>3751.6285714285714</v>
      </c>
      <c r="AG20" s="175">
        <f t="shared" si="7"/>
        <v>3751.6285714285714</v>
      </c>
      <c r="AH20" s="175">
        <f t="shared" si="7"/>
        <v>3751.6285714285714</v>
      </c>
      <c r="AI20" s="175">
        <f t="shared" si="7"/>
        <v>3751.6285714285714</v>
      </c>
      <c r="AJ20" s="175">
        <f t="shared" si="7"/>
        <v>3751.6285714285714</v>
      </c>
      <c r="AK20" s="175">
        <f t="shared" si="7"/>
        <v>3751.6285714285714</v>
      </c>
      <c r="AL20" s="175">
        <f t="shared" si="7"/>
        <v>3873.4660714285715</v>
      </c>
    </row>
    <row r="21" spans="2:38" ht="12.75">
      <c r="B21" s="179"/>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row>
    <row r="22" spans="2:38" ht="12.75">
      <c r="B22" s="155" t="s">
        <v>269</v>
      </c>
      <c r="D22" s="176">
        <f>SUM(D4:D20)</f>
        <v>15474.685714285712</v>
      </c>
      <c r="E22" s="176">
        <f aca="true" t="shared" si="8" ref="E22:AL22">SUM(E4:E20)</f>
        <v>21254.735714285714</v>
      </c>
      <c r="F22" s="176">
        <f t="shared" si="8"/>
        <v>5629.7357142857145</v>
      </c>
      <c r="G22" s="176">
        <f t="shared" si="8"/>
        <v>5629.7357142857145</v>
      </c>
      <c r="H22" s="176">
        <f t="shared" si="8"/>
        <v>13129.735714285714</v>
      </c>
      <c r="I22" s="176">
        <f t="shared" si="8"/>
        <v>13129.735714285714</v>
      </c>
      <c r="J22" s="176">
        <f t="shared" si="8"/>
        <v>13129.735714285714</v>
      </c>
      <c r="K22" s="176">
        <f t="shared" si="8"/>
        <v>13129.735714285714</v>
      </c>
      <c r="L22" s="176">
        <f t="shared" si="8"/>
        <v>11255.485714285714</v>
      </c>
      <c r="M22" s="176">
        <f t="shared" si="8"/>
        <v>12604.885714285714</v>
      </c>
      <c r="N22" s="176">
        <f t="shared" si="8"/>
        <v>11254.885714285714</v>
      </c>
      <c r="O22" s="176">
        <f t="shared" si="8"/>
        <v>11254.885714285714</v>
      </c>
      <c r="P22" s="176">
        <f t="shared" si="8"/>
        <v>11254.885714285714</v>
      </c>
      <c r="Q22" s="176">
        <f t="shared" si="8"/>
        <v>11254.885714285714</v>
      </c>
      <c r="R22" s="176">
        <f t="shared" si="8"/>
        <v>11254.885714285714</v>
      </c>
      <c r="S22" s="176">
        <f t="shared" si="8"/>
        <v>11254.885714285714</v>
      </c>
      <c r="T22" s="176">
        <f t="shared" si="8"/>
        <v>11254.885714285714</v>
      </c>
      <c r="U22" s="176">
        <f t="shared" si="8"/>
        <v>11254.885714285714</v>
      </c>
      <c r="V22" s="176">
        <f t="shared" si="8"/>
        <v>11254.885714285714</v>
      </c>
      <c r="W22" s="176">
        <f t="shared" si="8"/>
        <v>11896.135714285714</v>
      </c>
      <c r="X22" s="176">
        <f t="shared" si="8"/>
        <v>11254.885714285714</v>
      </c>
      <c r="Y22" s="176">
        <f t="shared" si="8"/>
        <v>11254.885714285714</v>
      </c>
      <c r="Z22" s="176">
        <f t="shared" si="8"/>
        <v>11254.885714285714</v>
      </c>
      <c r="AA22" s="176">
        <f t="shared" si="8"/>
        <v>11254.885714285714</v>
      </c>
      <c r="AB22" s="176">
        <f t="shared" si="8"/>
        <v>11620.398214285715</v>
      </c>
      <c r="AC22" s="176">
        <f t="shared" si="8"/>
        <v>11254.885714285714</v>
      </c>
      <c r="AD22" s="176">
        <f t="shared" si="8"/>
        <v>11254.885714285714</v>
      </c>
      <c r="AE22" s="176">
        <f t="shared" si="8"/>
        <v>11254.885714285714</v>
      </c>
      <c r="AF22" s="176">
        <f t="shared" si="8"/>
        <v>11254.885714285714</v>
      </c>
      <c r="AG22" s="176">
        <f t="shared" si="8"/>
        <v>11254.885714285714</v>
      </c>
      <c r="AH22" s="176">
        <f t="shared" si="8"/>
        <v>11254.885714285714</v>
      </c>
      <c r="AI22" s="176">
        <f t="shared" si="8"/>
        <v>11254.885714285714</v>
      </c>
      <c r="AJ22" s="176">
        <f t="shared" si="8"/>
        <v>11254.885714285714</v>
      </c>
      <c r="AK22" s="176">
        <f t="shared" si="8"/>
        <v>11254.885714285714</v>
      </c>
      <c r="AL22" s="176">
        <f t="shared" si="8"/>
        <v>11620.398214285715</v>
      </c>
    </row>
    <row r="23" ht="12.75">
      <c r="B23" s="160"/>
    </row>
    <row r="25" spans="1:13" ht="12.75">
      <c r="A25" s="1"/>
      <c r="B25" s="15"/>
      <c r="C25" s="2"/>
      <c r="D25" s="5"/>
      <c r="E25" s="5"/>
      <c r="F25" s="5"/>
      <c r="G25" s="5"/>
      <c r="H25" s="1"/>
      <c r="I25" s="1"/>
      <c r="J25" s="1"/>
      <c r="K25" s="1"/>
      <c r="L25" s="1"/>
      <c r="M25" s="1"/>
    </row>
    <row r="26" spans="1:11" ht="13.5" thickBot="1">
      <c r="A26" s="22"/>
      <c r="B26" s="23"/>
      <c r="C26" s="22"/>
      <c r="D26" s="21"/>
      <c r="E26" s="21"/>
      <c r="F26" s="21"/>
      <c r="G26" s="21"/>
      <c r="H26" s="22"/>
      <c r="I26" s="22"/>
      <c r="J26" s="22"/>
      <c r="K26" s="22"/>
    </row>
  </sheetData>
  <sheetProtection/>
  <printOptions/>
  <pageMargins left="0.75" right="0.75" top="1" bottom="1" header="0.5" footer="0.5"/>
  <pageSetup horizontalDpi="1200" verticalDpi="1200" orientation="portrait" paperSize="9" scale="48" r:id="rId4"/>
  <rowBreaks count="1" manualBreakCount="1">
    <brk id="24" max="255" man="1"/>
  </rowBreaks>
  <colBreaks count="1" manualBreakCount="1">
    <brk id="1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J55"/>
  <sheetViews>
    <sheetView zoomScale="130" zoomScaleNormal="130" zoomScalePageLayoutView="0" workbookViewId="0" topLeftCell="A1">
      <selection activeCell="A1" sqref="A1"/>
    </sheetView>
  </sheetViews>
  <sheetFormatPr defaultColWidth="9.140625" defaultRowHeight="12.75"/>
  <cols>
    <col min="1" max="1" width="44.57421875" style="1" bestFit="1" customWidth="1"/>
    <col min="2" max="2" width="3.140625" style="1" customWidth="1"/>
    <col min="3" max="6" width="9.140625" style="1" customWidth="1"/>
    <col min="7" max="7" width="2.8515625" style="1" customWidth="1"/>
    <col min="8" max="16384" width="9.140625" style="1" customWidth="1"/>
  </cols>
  <sheetData>
    <row r="1" spans="2:7" ht="12.75">
      <c r="B1" s="15"/>
      <c r="C1" s="2"/>
      <c r="D1" s="5"/>
      <c r="E1" s="5"/>
      <c r="F1" s="5"/>
      <c r="G1" s="5"/>
    </row>
    <row r="2" spans="2:7" s="22" customFormat="1" ht="13.5" thickBot="1">
      <c r="B2" s="23"/>
      <c r="D2" s="21"/>
      <c r="E2" s="21"/>
      <c r="F2" s="21"/>
      <c r="G2" s="21"/>
    </row>
    <row r="4" spans="1:10" ht="12" customHeight="1">
      <c r="A4" s="6" t="s">
        <v>265</v>
      </c>
      <c r="B4" s="8"/>
      <c r="C4" s="8"/>
      <c r="D4" s="10"/>
      <c r="E4" s="8"/>
      <c r="F4" s="8"/>
      <c r="G4" s="8"/>
      <c r="H4" s="8"/>
      <c r="I4" s="8"/>
      <c r="J4" s="8"/>
    </row>
    <row r="5" s="234" customFormat="1" ht="12.75">
      <c r="A5" s="208" t="s">
        <v>343</v>
      </c>
    </row>
    <row r="6" ht="12.75">
      <c r="A6" s="143" t="s">
        <v>295</v>
      </c>
    </row>
    <row r="7" ht="12.75">
      <c r="A7" s="163" t="s">
        <v>266</v>
      </c>
    </row>
    <row r="8" ht="12.75">
      <c r="A8" s="163"/>
    </row>
    <row r="9" ht="12.75">
      <c r="A9" s="67" t="s">
        <v>273</v>
      </c>
    </row>
    <row r="10" spans="1:3" ht="12.75">
      <c r="A10" s="75" t="s">
        <v>274</v>
      </c>
      <c r="C10" s="1" t="s">
        <v>275</v>
      </c>
    </row>
    <row r="11" spans="1:3" ht="12.75">
      <c r="A11" s="75" t="s">
        <v>276</v>
      </c>
      <c r="C11" s="1" t="s">
        <v>288</v>
      </c>
    </row>
    <row r="12" spans="1:3" ht="12.75">
      <c r="A12" s="181" t="s">
        <v>271</v>
      </c>
      <c r="C12" s="1" t="s">
        <v>277</v>
      </c>
    </row>
    <row r="13" spans="1:3" ht="12.75">
      <c r="A13" s="181" t="s">
        <v>272</v>
      </c>
      <c r="C13" s="1" t="s">
        <v>278</v>
      </c>
    </row>
    <row r="14" spans="1:3" ht="12.75">
      <c r="A14" s="181" t="s">
        <v>279</v>
      </c>
      <c r="C14" s="1" t="s">
        <v>280</v>
      </c>
    </row>
    <row r="15" spans="1:3" ht="12.75">
      <c r="A15" s="181" t="s">
        <v>281</v>
      </c>
      <c r="C15" s="1" t="s">
        <v>282</v>
      </c>
    </row>
    <row r="16" spans="1:3" ht="12.75">
      <c r="A16" s="181" t="s">
        <v>290</v>
      </c>
      <c r="C16" s="1" t="s">
        <v>291</v>
      </c>
    </row>
    <row r="17" spans="1:3" ht="12.75">
      <c r="A17" s="181" t="s">
        <v>283</v>
      </c>
      <c r="C17" s="1" t="s">
        <v>292</v>
      </c>
    </row>
    <row r="18" spans="1:3" ht="12.75">
      <c r="A18" s="181" t="s">
        <v>284</v>
      </c>
      <c r="C18" s="1" t="s">
        <v>293</v>
      </c>
    </row>
    <row r="19" spans="1:3" ht="12.75">
      <c r="A19" s="181" t="s">
        <v>285</v>
      </c>
      <c r="C19" s="1" t="s">
        <v>294</v>
      </c>
    </row>
    <row r="20" ht="12.75">
      <c r="A20" s="181"/>
    </row>
    <row r="21" ht="12.75">
      <c r="A21" s="238" t="s">
        <v>355</v>
      </c>
    </row>
    <row r="22" ht="12.75">
      <c r="A22" s="163"/>
    </row>
    <row r="23" spans="1:10" ht="12" customHeight="1">
      <c r="A23" s="6" t="s">
        <v>264</v>
      </c>
      <c r="B23" s="8"/>
      <c r="C23" s="8" t="s">
        <v>31</v>
      </c>
      <c r="D23" s="10" t="s">
        <v>67</v>
      </c>
      <c r="E23" s="8"/>
      <c r="F23" s="8"/>
      <c r="G23" s="8"/>
      <c r="H23" s="8"/>
      <c r="I23" s="8"/>
      <c r="J23" s="8"/>
    </row>
    <row r="24" ht="12.75">
      <c r="A24" s="2" t="s">
        <v>259</v>
      </c>
    </row>
    <row r="26" spans="1:10" ht="12.75">
      <c r="A26" s="151" t="s">
        <v>260</v>
      </c>
      <c r="B26" s="7"/>
      <c r="C26" s="7"/>
      <c r="D26" s="152" t="s">
        <v>123</v>
      </c>
      <c r="E26" s="152" t="s">
        <v>253</v>
      </c>
      <c r="F26" s="152" t="s">
        <v>258</v>
      </c>
      <c r="G26" s="7"/>
      <c r="H26" s="152" t="s">
        <v>256</v>
      </c>
      <c r="I26" s="152" t="s">
        <v>257</v>
      </c>
      <c r="J26" s="152"/>
    </row>
    <row r="27" spans="1:3" ht="12.75">
      <c r="A27" s="67" t="s">
        <v>252</v>
      </c>
      <c r="C27" s="67" t="s">
        <v>255</v>
      </c>
    </row>
    <row r="28" spans="1:6" ht="12.75">
      <c r="A28" s="1" t="s">
        <v>254</v>
      </c>
      <c r="C28" s="1" t="s">
        <v>32</v>
      </c>
      <c r="D28" s="149">
        <v>0.057</v>
      </c>
      <c r="E28" s="149">
        <v>0.021</v>
      </c>
      <c r="F28" s="149">
        <v>0.022</v>
      </c>
    </row>
    <row r="29" spans="1:6" ht="12.75">
      <c r="A29" s="1" t="s">
        <v>55</v>
      </c>
      <c r="C29" s="1" t="s">
        <v>44</v>
      </c>
      <c r="D29" s="1">
        <v>100</v>
      </c>
      <c r="E29" s="1">
        <v>350</v>
      </c>
      <c r="F29" s="1">
        <v>250</v>
      </c>
    </row>
    <row r="30" spans="1:6" ht="12.75">
      <c r="A30" s="1" t="s">
        <v>12</v>
      </c>
      <c r="C30" s="1" t="s">
        <v>44</v>
      </c>
      <c r="D30" s="17">
        <v>0.1</v>
      </c>
      <c r="E30" s="1">
        <v>70</v>
      </c>
      <c r="F30" s="1">
        <v>50</v>
      </c>
    </row>
    <row r="31" spans="1:6" ht="12.75">
      <c r="A31" s="1" t="s">
        <v>121</v>
      </c>
      <c r="C31" s="1" t="s">
        <v>44</v>
      </c>
      <c r="D31" s="1">
        <v>2500</v>
      </c>
      <c r="E31" s="1">
        <v>10000</v>
      </c>
      <c r="F31" s="1">
        <v>7500</v>
      </c>
    </row>
    <row r="32" spans="1:9" ht="12.75">
      <c r="A32" s="1" t="s">
        <v>168</v>
      </c>
      <c r="C32" s="1" t="s">
        <v>44</v>
      </c>
      <c r="D32" s="150">
        <f aca="true" t="shared" si="0" ref="D32:F33">$H32+($I32*D$34)</f>
        <v>40</v>
      </c>
      <c r="E32" s="150">
        <f t="shared" si="0"/>
        <v>140</v>
      </c>
      <c r="F32" s="150">
        <f t="shared" si="0"/>
        <v>120</v>
      </c>
      <c r="H32" s="1">
        <v>20</v>
      </c>
      <c r="I32" s="1">
        <v>2</v>
      </c>
    </row>
    <row r="33" spans="1:9" ht="12.75">
      <c r="A33" s="1" t="s">
        <v>169</v>
      </c>
      <c r="C33" s="1" t="s">
        <v>44</v>
      </c>
      <c r="D33" s="150">
        <f t="shared" si="0"/>
        <v>80</v>
      </c>
      <c r="E33" s="150">
        <f t="shared" si="0"/>
        <v>230</v>
      </c>
      <c r="F33" s="150">
        <f t="shared" si="0"/>
        <v>200</v>
      </c>
      <c r="H33" s="1">
        <v>50</v>
      </c>
      <c r="I33" s="1">
        <v>3</v>
      </c>
    </row>
    <row r="34" spans="1:6" ht="12.75">
      <c r="A34" s="1" t="s">
        <v>27</v>
      </c>
      <c r="C34" s="1" t="s">
        <v>128</v>
      </c>
      <c r="D34" s="1">
        <v>10</v>
      </c>
      <c r="E34" s="1">
        <v>60</v>
      </c>
      <c r="F34" s="1">
        <v>50</v>
      </c>
    </row>
    <row r="35" spans="1:9" ht="12.75">
      <c r="A35" s="1" t="s">
        <v>169</v>
      </c>
      <c r="C35" s="1" t="s">
        <v>44</v>
      </c>
      <c r="D35" s="150">
        <f aca="true" t="shared" si="1" ref="D35:F40">$H35+($I35*D$34)</f>
        <v>100</v>
      </c>
      <c r="E35" s="150">
        <f t="shared" si="1"/>
        <v>350</v>
      </c>
      <c r="F35" s="150">
        <f t="shared" si="1"/>
        <v>300</v>
      </c>
      <c r="H35" s="1">
        <v>50</v>
      </c>
      <c r="I35" s="1">
        <v>5</v>
      </c>
    </row>
    <row r="36" spans="1:9" ht="12.75">
      <c r="A36" s="1" t="s">
        <v>183</v>
      </c>
      <c r="C36" s="1" t="s">
        <v>44</v>
      </c>
      <c r="D36" s="150">
        <f t="shared" si="1"/>
        <v>200</v>
      </c>
      <c r="E36" s="150">
        <f t="shared" si="1"/>
        <v>700</v>
      </c>
      <c r="F36" s="150">
        <f t="shared" si="1"/>
        <v>600</v>
      </c>
      <c r="H36" s="1">
        <v>100</v>
      </c>
      <c r="I36" s="1">
        <v>10</v>
      </c>
    </row>
    <row r="37" spans="1:9" ht="12.75">
      <c r="A37" s="1" t="s">
        <v>361</v>
      </c>
      <c r="C37" s="1" t="s">
        <v>44</v>
      </c>
      <c r="D37" s="150">
        <f t="shared" si="1"/>
        <v>100</v>
      </c>
      <c r="E37" s="150">
        <f t="shared" si="1"/>
        <v>350</v>
      </c>
      <c r="F37" s="150">
        <f t="shared" si="1"/>
        <v>300</v>
      </c>
      <c r="H37" s="1">
        <v>50</v>
      </c>
      <c r="I37" s="1">
        <v>5</v>
      </c>
    </row>
    <row r="38" spans="1:9" ht="12.75">
      <c r="A38" s="1" t="s">
        <v>191</v>
      </c>
      <c r="C38" s="1" t="s">
        <v>44</v>
      </c>
      <c r="D38" s="150">
        <f t="shared" si="1"/>
        <v>250</v>
      </c>
      <c r="E38" s="150">
        <f t="shared" si="1"/>
        <v>750</v>
      </c>
      <c r="F38" s="150">
        <f t="shared" si="1"/>
        <v>650</v>
      </c>
      <c r="H38" s="1">
        <v>150</v>
      </c>
      <c r="I38" s="1">
        <v>10</v>
      </c>
    </row>
    <row r="39" spans="1:9" ht="12.75">
      <c r="A39" s="1" t="s">
        <v>368</v>
      </c>
      <c r="C39" s="1" t="s">
        <v>44</v>
      </c>
      <c r="D39" s="150">
        <f t="shared" si="1"/>
        <v>210</v>
      </c>
      <c r="E39" s="150">
        <f t="shared" si="1"/>
        <v>510</v>
      </c>
      <c r="F39" s="150">
        <f t="shared" si="1"/>
        <v>450</v>
      </c>
      <c r="H39" s="1">
        <v>150</v>
      </c>
      <c r="I39" s="1">
        <v>6</v>
      </c>
    </row>
    <row r="40" spans="1:9" ht="12.75">
      <c r="A40" s="1" t="s">
        <v>227</v>
      </c>
      <c r="C40" s="1" t="s">
        <v>44</v>
      </c>
      <c r="D40" s="150">
        <f t="shared" si="1"/>
        <v>500</v>
      </c>
      <c r="E40" s="150">
        <f t="shared" si="1"/>
        <v>1500</v>
      </c>
      <c r="F40" s="150">
        <f t="shared" si="1"/>
        <v>1300</v>
      </c>
      <c r="H40" s="1">
        <v>300</v>
      </c>
      <c r="I40" s="1">
        <v>20</v>
      </c>
    </row>
    <row r="42" ht="12.75">
      <c r="A42" s="67" t="s">
        <v>394</v>
      </c>
    </row>
    <row r="43" ht="12.75">
      <c r="A43" s="67" t="s">
        <v>72</v>
      </c>
    </row>
    <row r="44" spans="1:4" ht="12.75">
      <c r="A44" t="s">
        <v>382</v>
      </c>
      <c r="D44" s="1">
        <f>'Input and Output'!C21</f>
        <v>2011</v>
      </c>
    </row>
    <row r="45" spans="1:4" ht="12.75">
      <c r="A45" t="s">
        <v>382</v>
      </c>
      <c r="D45" s="1">
        <f aca="true" t="shared" si="2" ref="D45:D54">D44+1</f>
        <v>2012</v>
      </c>
    </row>
    <row r="46" spans="1:4" ht="12.75">
      <c r="A46" t="s">
        <v>383</v>
      </c>
      <c r="D46" s="1">
        <f t="shared" si="2"/>
        <v>2013</v>
      </c>
    </row>
    <row r="47" spans="1:4" ht="12.75">
      <c r="A47" t="s">
        <v>384</v>
      </c>
      <c r="D47" s="1">
        <f t="shared" si="2"/>
        <v>2014</v>
      </c>
    </row>
    <row r="48" spans="1:4" ht="12.75">
      <c r="A48" t="s">
        <v>385</v>
      </c>
      <c r="D48" s="1">
        <f t="shared" si="2"/>
        <v>2015</v>
      </c>
    </row>
    <row r="49" spans="1:4" ht="12.75">
      <c r="A49" t="s">
        <v>386</v>
      </c>
      <c r="D49" s="1">
        <f t="shared" si="2"/>
        <v>2016</v>
      </c>
    </row>
    <row r="50" spans="1:4" ht="12.75">
      <c r="A50" t="s">
        <v>387</v>
      </c>
      <c r="D50" s="1">
        <f t="shared" si="2"/>
        <v>2017</v>
      </c>
    </row>
    <row r="51" spans="1:4" ht="12.75">
      <c r="A51" t="s">
        <v>388</v>
      </c>
      <c r="D51" s="1">
        <f t="shared" si="2"/>
        <v>2018</v>
      </c>
    </row>
    <row r="52" spans="1:4" ht="12.75">
      <c r="A52" t="s">
        <v>389</v>
      </c>
      <c r="D52" s="1">
        <f t="shared" si="2"/>
        <v>2019</v>
      </c>
    </row>
    <row r="53" spans="1:4" ht="12.75">
      <c r="A53" t="s">
        <v>390</v>
      </c>
      <c r="D53" s="1">
        <f t="shared" si="2"/>
        <v>2020</v>
      </c>
    </row>
    <row r="54" spans="1:4" ht="12.75">
      <c r="A54" t="s">
        <v>391</v>
      </c>
      <c r="D54" s="1">
        <f t="shared" si="2"/>
        <v>2021</v>
      </c>
    </row>
    <row r="55" spans="1:4" ht="12.75">
      <c r="A55" s="1" t="s">
        <v>398</v>
      </c>
      <c r="D55" s="1">
        <v>10</v>
      </c>
    </row>
  </sheetData>
  <sheetProtection/>
  <printOptions/>
  <pageMargins left="0.75" right="0.75" top="1" bottom="1" header="0.5" footer="0.5"/>
  <pageSetup horizontalDpi="1200" verticalDpi="1200" orientation="portrait" paperSize="9" scale="75" r:id="rId2"/>
  <headerFooter alignWithMargins="0">
    <oddFooter>&amp;L&amp;8Groasis&amp;C&amp;8Financial model for a reforestation project&amp;R&amp;8Copyright Wout Hoff</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2:H220"/>
  <sheetViews>
    <sheetView zoomScale="120" zoomScaleNormal="120" zoomScalePageLayoutView="0" workbookViewId="0" topLeftCell="A1">
      <pane ySplit="19" topLeftCell="A45" activePane="bottomLeft" state="frozen"/>
      <selection pane="topLeft" activeCell="A1" sqref="A1"/>
      <selection pane="bottomLeft" activeCell="C47" sqref="C47"/>
    </sheetView>
  </sheetViews>
  <sheetFormatPr defaultColWidth="9.140625" defaultRowHeight="12.75"/>
  <cols>
    <col min="1" max="1" width="48.7109375" style="1" bestFit="1" customWidth="1"/>
    <col min="2" max="2" width="14.140625" style="15" customWidth="1"/>
    <col min="3" max="3" width="13.421875" style="2" bestFit="1" customWidth="1"/>
    <col min="4" max="4" width="11.8515625" style="5" customWidth="1"/>
    <col min="5" max="5" width="26.421875" style="5" customWidth="1"/>
    <col min="6" max="6" width="13.28125" style="5" customWidth="1"/>
    <col min="7" max="7" width="16.421875" style="5" bestFit="1" customWidth="1"/>
    <col min="8" max="9" width="9.140625" style="1" customWidth="1"/>
    <col min="10" max="10" width="25.140625" style="1" customWidth="1"/>
    <col min="11" max="16384" width="9.140625" style="1" customWidth="1"/>
  </cols>
  <sheetData>
    <row r="1" ht="12.75"/>
    <row r="2" spans="2:7" s="22" customFormat="1" ht="13.5" thickBot="1">
      <c r="B2" s="23"/>
      <c r="D2" s="21"/>
      <c r="F2" s="21"/>
      <c r="G2" s="21"/>
    </row>
    <row r="3" spans="1:5" ht="12.75">
      <c r="A3" s="6" t="s">
        <v>30</v>
      </c>
      <c r="B3" s="8" t="s">
        <v>31</v>
      </c>
      <c r="C3" s="10" t="s">
        <v>400</v>
      </c>
      <c r="D3" s="10" t="s">
        <v>399</v>
      </c>
      <c r="E3" s="10" t="s">
        <v>401</v>
      </c>
    </row>
    <row r="4" spans="1:5" ht="12.75">
      <c r="A4" s="7" t="s">
        <v>324</v>
      </c>
      <c r="B4" s="9" t="s">
        <v>326</v>
      </c>
      <c r="C4" s="241">
        <f>C36</f>
        <v>50000</v>
      </c>
      <c r="D4" s="241">
        <f>C4*'Notes and Assumptions'!D55</f>
        <v>500000</v>
      </c>
      <c r="E4" s="241">
        <f>D4*2.5</f>
        <v>1250000</v>
      </c>
    </row>
    <row r="5" spans="1:4" ht="12.75">
      <c r="A5" s="7" t="s">
        <v>325</v>
      </c>
      <c r="B5" s="9" t="s">
        <v>29</v>
      </c>
      <c r="C5" s="241">
        <f>C25</f>
        <v>35</v>
      </c>
      <c r="D5" s="241">
        <f>C5+'Notes and Assumptions'!D55</f>
        <v>45</v>
      </c>
    </row>
    <row r="6" spans="1:5" ht="12.75">
      <c r="A6" s="7" t="s">
        <v>16</v>
      </c>
      <c r="B6" s="9" t="s">
        <v>32</v>
      </c>
      <c r="C6" s="237">
        <f>C30</f>
        <v>0.1</v>
      </c>
      <c r="D6" s="237">
        <f>C6</f>
        <v>0.1</v>
      </c>
      <c r="E6" s="40" t="s">
        <v>371</v>
      </c>
    </row>
    <row r="7" spans="1:4" ht="12.75">
      <c r="A7" s="7" t="s">
        <v>327</v>
      </c>
      <c r="B7" s="9" t="s">
        <v>32</v>
      </c>
      <c r="C7" s="237">
        <f>C152</f>
        <v>0.2</v>
      </c>
      <c r="D7" s="237">
        <f>C7</f>
        <v>0.2</v>
      </c>
    </row>
    <row r="8" spans="1:4" ht="6.75" customHeight="1">
      <c r="A8" s="7"/>
      <c r="B8" s="9"/>
      <c r="C8" s="237"/>
      <c r="D8" s="237"/>
    </row>
    <row r="9" spans="1:5" ht="11.25" customHeight="1">
      <c r="A9" s="7" t="s">
        <v>135</v>
      </c>
      <c r="B9" s="9" t="s">
        <v>345</v>
      </c>
      <c r="C9" s="241">
        <f>Workings!C64/1000</f>
        <v>1248.738324365922</v>
      </c>
      <c r="D9" s="241">
        <f>Portfolio!C24/1000</f>
        <v>10710.425464791182</v>
      </c>
      <c r="E9" s="40" t="s">
        <v>372</v>
      </c>
    </row>
    <row r="10" spans="1:5" ht="11.25" customHeight="1">
      <c r="A10" s="7" t="s">
        <v>136</v>
      </c>
      <c r="B10" s="9" t="s">
        <v>32</v>
      </c>
      <c r="C10" s="247">
        <f>Workings!C66</f>
        <v>0.18662422995792444</v>
      </c>
      <c r="D10" s="247">
        <f>Portfolio!C26</f>
        <v>0.291439064101556</v>
      </c>
      <c r="E10" s="40" t="s">
        <v>373</v>
      </c>
    </row>
    <row r="11" spans="1:5" ht="11.25" customHeight="1">
      <c r="A11" s="7" t="s">
        <v>73</v>
      </c>
      <c r="B11" s="9" t="s">
        <v>345</v>
      </c>
      <c r="C11" s="265">
        <f>Workings!C68/1000</f>
        <v>-546.8789775</v>
      </c>
      <c r="D11" s="265">
        <f>Portfolio!C28/1000</f>
        <v>-1198.7925225000001</v>
      </c>
      <c r="E11" s="40" t="s">
        <v>374</v>
      </c>
    </row>
    <row r="12" spans="1:5" ht="11.25" customHeight="1">
      <c r="A12" s="7" t="s">
        <v>119</v>
      </c>
      <c r="B12" s="9" t="s">
        <v>29</v>
      </c>
      <c r="C12" s="241">
        <f>Workings!C70</f>
        <v>9</v>
      </c>
      <c r="D12" s="241">
        <f>Portfolio!C30</f>
        <v>9</v>
      </c>
      <c r="E12" s="40" t="s">
        <v>375</v>
      </c>
    </row>
    <row r="13" spans="1:4" ht="6.75" customHeight="1">
      <c r="A13" s="7"/>
      <c r="B13" s="9"/>
      <c r="C13" s="237"/>
      <c r="D13" s="237"/>
    </row>
    <row r="14" spans="1:5" ht="11.25" customHeight="1">
      <c r="A14" s="7" t="s">
        <v>85</v>
      </c>
      <c r="B14" s="9" t="s">
        <v>346</v>
      </c>
      <c r="C14" s="246">
        <f>C25*C36*C130/1000000</f>
        <v>17.5</v>
      </c>
      <c r="D14" s="246">
        <f>C14*'Notes and Assumptions'!D55</f>
        <v>175</v>
      </c>
      <c r="E14" s="40" t="s">
        <v>376</v>
      </c>
    </row>
    <row r="15" spans="1:5" ht="11.25" customHeight="1">
      <c r="A15" s="7" t="s">
        <v>250</v>
      </c>
      <c r="B15" s="9" t="s">
        <v>163</v>
      </c>
      <c r="C15" s="264">
        <f>-C11/C14</f>
        <v>31.25022728571429</v>
      </c>
      <c r="D15" s="264">
        <f>-D11/D14</f>
        <v>6.850242985714287</v>
      </c>
      <c r="E15" s="40" t="s">
        <v>377</v>
      </c>
    </row>
    <row r="16" spans="1:5" ht="11.25" customHeight="1">
      <c r="A16" s="7" t="s">
        <v>344</v>
      </c>
      <c r="B16" s="9" t="s">
        <v>163</v>
      </c>
      <c r="C16" s="264">
        <f>C9/C14</f>
        <v>71.35647567805267</v>
      </c>
      <c r="D16" s="264">
        <f>D9/D14</f>
        <v>61.202431227378185</v>
      </c>
      <c r="E16" s="40" t="s">
        <v>378</v>
      </c>
    </row>
    <row r="17" spans="1:5" ht="11.25" customHeight="1" thickBot="1">
      <c r="A17" s="7" t="s">
        <v>261</v>
      </c>
      <c r="B17" s="9" t="s">
        <v>232</v>
      </c>
      <c r="C17" s="241">
        <f>C186</f>
        <v>11417.477857142856</v>
      </c>
      <c r="D17" s="241">
        <f>C17*'Notes and Assumptions'!D55</f>
        <v>114174.77857142856</v>
      </c>
      <c r="E17" s="40" t="s">
        <v>379</v>
      </c>
    </row>
    <row r="18" spans="2:7" s="24" customFormat="1" ht="13.5" thickBot="1">
      <c r="B18" s="25"/>
      <c r="D18" s="27"/>
      <c r="E18" s="27"/>
      <c r="F18" s="27"/>
      <c r="G18" s="27"/>
    </row>
    <row r="19" spans="1:7" ht="12" customHeight="1">
      <c r="A19" s="6" t="s">
        <v>33</v>
      </c>
      <c r="B19" s="8" t="s">
        <v>31</v>
      </c>
      <c r="C19" s="10" t="s">
        <v>67</v>
      </c>
      <c r="D19" s="26"/>
      <c r="E19" s="26"/>
      <c r="F19" s="26"/>
      <c r="G19" s="26"/>
    </row>
    <row r="20" spans="1:7" s="30" customFormat="1" ht="12.75">
      <c r="A20" s="7" t="s">
        <v>40</v>
      </c>
      <c r="B20" s="9"/>
      <c r="C20" s="29"/>
      <c r="D20" s="26"/>
      <c r="E20" s="26"/>
      <c r="F20" s="26"/>
      <c r="G20" s="26"/>
    </row>
    <row r="21" spans="1:3" ht="12.75">
      <c r="A21" s="1" t="s">
        <v>72</v>
      </c>
      <c r="B21" s="15" t="s">
        <v>41</v>
      </c>
      <c r="C21" s="2">
        <v>2011</v>
      </c>
    </row>
    <row r="22" spans="1:3" ht="12.75">
      <c r="A22" s="1" t="s">
        <v>24</v>
      </c>
      <c r="C22" s="2">
        <v>1</v>
      </c>
    </row>
    <row r="23" spans="1:3" ht="12.75">
      <c r="A23" s="1" t="s">
        <v>112</v>
      </c>
      <c r="C23" s="2">
        <v>2</v>
      </c>
    </row>
    <row r="24" spans="1:3" ht="12.75">
      <c r="A24" s="1" t="s">
        <v>218</v>
      </c>
      <c r="C24" s="2">
        <v>5</v>
      </c>
    </row>
    <row r="25" spans="1:5" ht="12.75">
      <c r="A25" s="1" t="s">
        <v>178</v>
      </c>
      <c r="C25" s="2">
        <v>35</v>
      </c>
      <c r="E25" s="40"/>
    </row>
    <row r="26" ht="4.5" customHeight="1"/>
    <row r="27" spans="1:5" ht="12.75">
      <c r="A27" s="1" t="s">
        <v>122</v>
      </c>
      <c r="C27" s="148" t="s">
        <v>123</v>
      </c>
      <c r="E27" s="193" t="s">
        <v>312</v>
      </c>
    </row>
    <row r="28" spans="1:3" ht="12.75">
      <c r="A28" s="1" t="s">
        <v>34</v>
      </c>
      <c r="C28" s="13" t="s">
        <v>35</v>
      </c>
    </row>
    <row r="29" spans="1:3" ht="12.75">
      <c r="A29" s="1" t="s">
        <v>25</v>
      </c>
      <c r="C29" s="205">
        <f>IF(C27=A209,'Notes and Assumptions'!D28,IF('Input and Output'!C27='Input and Output'!A210,'Notes and Assumptions'!E28,'Notes and Assumptions'!F28))</f>
        <v>0.057</v>
      </c>
    </row>
    <row r="30" spans="1:3" ht="12.75">
      <c r="A30" s="1" t="s">
        <v>16</v>
      </c>
      <c r="C30" s="12">
        <v>0.1</v>
      </c>
    </row>
    <row r="31" ht="12.75"/>
    <row r="32" spans="1:7" s="30" customFormat="1" ht="12.75">
      <c r="A32" s="7" t="s">
        <v>36</v>
      </c>
      <c r="B32" s="9"/>
      <c r="C32" s="29"/>
      <c r="D32" s="26"/>
      <c r="E32" s="26"/>
      <c r="F32" s="26"/>
      <c r="G32" s="26"/>
    </row>
    <row r="33" spans="1:5" ht="12.75">
      <c r="A33" s="1" t="s">
        <v>137</v>
      </c>
      <c r="C33" s="28" t="s">
        <v>53</v>
      </c>
      <c r="E33" s="193" t="s">
        <v>313</v>
      </c>
    </row>
    <row r="34" spans="1:5" ht="12.75">
      <c r="A34" s="1" t="s">
        <v>55</v>
      </c>
      <c r="B34" s="15" t="s">
        <v>44</v>
      </c>
      <c r="C34" s="147">
        <f>IF($C$27=$A$209,'Notes and Assumptions'!D29,IF('Input and Output'!$C$27='Input and Output'!$A$210,'Notes and Assumptions'!E29,'Notes and Assumptions'!F29))</f>
        <v>100</v>
      </c>
      <c r="E34" s="40" t="s">
        <v>357</v>
      </c>
    </row>
    <row r="35" spans="1:5" ht="12.75">
      <c r="A35" s="1" t="s">
        <v>12</v>
      </c>
      <c r="B35" s="15" t="s">
        <v>124</v>
      </c>
      <c r="C35" s="161">
        <f>IF($C$27=$A$209,'Notes and Assumptions'!D30,IF('Input and Output'!$C$27='Input and Output'!$A$210,'Notes and Assumptions'!E30,'Notes and Assumptions'!F30))</f>
        <v>0.1</v>
      </c>
      <c r="E35" s="49"/>
    </row>
    <row r="36" spans="1:5" ht="12.75">
      <c r="A36" s="1" t="s">
        <v>0</v>
      </c>
      <c r="C36" s="3">
        <v>50000</v>
      </c>
      <c r="E36" s="49"/>
    </row>
    <row r="37" spans="1:5" ht="12.75">
      <c r="A37" s="1" t="s">
        <v>121</v>
      </c>
      <c r="B37" s="15" t="s">
        <v>44</v>
      </c>
      <c r="C37" s="147">
        <f>IF($C$27=$A$209,'Notes and Assumptions'!D31,IF('Input and Output'!$C$27='Input and Output'!$A$210,'Notes and Assumptions'!E31,'Notes and Assumptions'!F31))</f>
        <v>2500</v>
      </c>
      <c r="E37" s="40" t="s">
        <v>358</v>
      </c>
    </row>
    <row r="38" ht="4.5" customHeight="1"/>
    <row r="39" spans="1:5" ht="12.75">
      <c r="A39" s="1" t="s">
        <v>184</v>
      </c>
      <c r="B39" s="15" t="s">
        <v>35</v>
      </c>
      <c r="C39" s="3">
        <v>125000</v>
      </c>
      <c r="E39" s="40" t="s">
        <v>297</v>
      </c>
    </row>
    <row r="40" spans="1:5" ht="12.75">
      <c r="A40" s="1" t="s">
        <v>168</v>
      </c>
      <c r="B40" s="15" t="s">
        <v>44</v>
      </c>
      <c r="C40" s="147">
        <f>IF($C$27=$A$209,'Notes and Assumptions'!D32,IF('Input and Output'!$C$27='Input and Output'!$A$210,'Notes and Assumptions'!E32,'Notes and Assumptions'!F32))</f>
        <v>40</v>
      </c>
      <c r="E40" s="40" t="s">
        <v>299</v>
      </c>
    </row>
    <row r="41" spans="1:5" ht="12.75">
      <c r="A41" s="1" t="s">
        <v>169</v>
      </c>
      <c r="B41" s="15" t="s">
        <v>44</v>
      </c>
      <c r="C41" s="147">
        <f>IF($C$27=$A$209,'Notes and Assumptions'!D33,IF('Input and Output'!$C$27='Input and Output'!$A$210,'Notes and Assumptions'!E33,'Notes and Assumptions'!F33))</f>
        <v>80</v>
      </c>
      <c r="E41" s="40" t="s">
        <v>170</v>
      </c>
    </row>
    <row r="42" spans="1:5" ht="12.75">
      <c r="A42" s="1" t="s">
        <v>8</v>
      </c>
      <c r="C42" s="3">
        <v>2667</v>
      </c>
      <c r="E42" s="40" t="s">
        <v>165</v>
      </c>
    </row>
    <row r="43" spans="1:5" ht="12.75">
      <c r="A43" s="1" t="s">
        <v>1</v>
      </c>
      <c r="C43" s="77">
        <f>C42*C36</f>
        <v>133350000</v>
      </c>
      <c r="E43" s="134"/>
    </row>
    <row r="44" spans="1:5" ht="12.75">
      <c r="A44" s="75" t="s">
        <v>187</v>
      </c>
      <c r="B44" s="15" t="s">
        <v>32</v>
      </c>
      <c r="C44" s="38">
        <v>0.8</v>
      </c>
      <c r="E44" s="40" t="s">
        <v>212</v>
      </c>
    </row>
    <row r="45" spans="1:5" ht="12.75">
      <c r="A45" s="75" t="s">
        <v>188</v>
      </c>
      <c r="B45" s="15" t="s">
        <v>32</v>
      </c>
      <c r="C45" s="38">
        <v>0.2</v>
      </c>
      <c r="E45" s="40" t="s">
        <v>359</v>
      </c>
    </row>
    <row r="46" spans="1:5" ht="12.75">
      <c r="A46" s="1" t="s">
        <v>9</v>
      </c>
      <c r="C46" s="3">
        <v>1333</v>
      </c>
      <c r="E46" s="40" t="s">
        <v>165</v>
      </c>
    </row>
    <row r="47" spans="1:3" ht="12.75">
      <c r="A47" s="1" t="s">
        <v>2</v>
      </c>
      <c r="C47" s="77">
        <f>C46*C36</f>
        <v>66650000</v>
      </c>
    </row>
    <row r="48" spans="1:3" ht="12.75">
      <c r="A48" s="1" t="s">
        <v>116</v>
      </c>
      <c r="B48" s="15" t="s">
        <v>117</v>
      </c>
      <c r="C48" s="78">
        <f>10000/(C42+C46)</f>
        <v>2.5</v>
      </c>
    </row>
    <row r="49" ht="4.5" customHeight="1"/>
    <row r="50" spans="1:5" ht="12.75">
      <c r="A50" s="1" t="s">
        <v>207</v>
      </c>
      <c r="C50" s="28" t="s">
        <v>210</v>
      </c>
      <c r="E50" s="193" t="s">
        <v>314</v>
      </c>
    </row>
    <row r="51" spans="1:5" ht="12.75">
      <c r="A51" s="1" t="s">
        <v>262</v>
      </c>
      <c r="C51" s="162">
        <v>0.1</v>
      </c>
      <c r="E51" s="40" t="s">
        <v>300</v>
      </c>
    </row>
    <row r="52" spans="1:5" ht="12.75">
      <c r="A52" s="1" t="s">
        <v>209</v>
      </c>
      <c r="B52" s="15" t="s">
        <v>58</v>
      </c>
      <c r="C52" s="117">
        <f>IF(C50=A219,5,20)</f>
        <v>5</v>
      </c>
      <c r="E52" s="40" t="s">
        <v>301</v>
      </c>
    </row>
    <row r="53" spans="1:5" ht="12.75">
      <c r="A53" s="1" t="s">
        <v>211</v>
      </c>
      <c r="B53" s="15" t="s">
        <v>32</v>
      </c>
      <c r="C53" s="38">
        <v>0.1</v>
      </c>
      <c r="E53" s="40" t="s">
        <v>302</v>
      </c>
    </row>
    <row r="54" spans="1:5" ht="12.75">
      <c r="A54" s="1" t="s">
        <v>211</v>
      </c>
      <c r="B54" s="15" t="s">
        <v>58</v>
      </c>
      <c r="C54" s="79">
        <f>IF(C50=A219,0,C53*9)</f>
        <v>0</v>
      </c>
      <c r="E54" s="40" t="s">
        <v>302</v>
      </c>
    </row>
    <row r="55" spans="1:5" ht="12.75">
      <c r="A55" s="1" t="s">
        <v>96</v>
      </c>
      <c r="C55" s="77">
        <f>C43/2+C47/2</f>
        <v>100000000</v>
      </c>
      <c r="E55" s="40" t="s">
        <v>263</v>
      </c>
    </row>
    <row r="56" ht="4.5" customHeight="1"/>
    <row r="57" spans="1:3" ht="12.75">
      <c r="A57" s="1" t="s">
        <v>80</v>
      </c>
      <c r="B57" s="15" t="s">
        <v>59</v>
      </c>
      <c r="C57" s="4">
        <v>0.2</v>
      </c>
    </row>
    <row r="58" spans="1:3" ht="12.75">
      <c r="A58" s="1" t="s">
        <v>79</v>
      </c>
      <c r="B58" s="15" t="s">
        <v>82</v>
      </c>
      <c r="C58" s="4">
        <v>0.25</v>
      </c>
    </row>
    <row r="59" spans="1:5" ht="12.75">
      <c r="A59" s="1" t="s">
        <v>81</v>
      </c>
      <c r="B59" s="15" t="s">
        <v>26</v>
      </c>
      <c r="C59" s="2">
        <v>1.5</v>
      </c>
      <c r="E59" s="40" t="s">
        <v>403</v>
      </c>
    </row>
    <row r="60" spans="1:3" ht="12.75">
      <c r="A60" s="1" t="s">
        <v>27</v>
      </c>
      <c r="B60" s="15" t="s">
        <v>128</v>
      </c>
      <c r="C60" s="147">
        <f>IF($C$27=$A$209,'Notes and Assumptions'!D34,IF('Input and Output'!$C$27='Input and Output'!$A$210,'Notes and Assumptions'!E34,'Notes and Assumptions'!F34))</f>
        <v>10</v>
      </c>
    </row>
    <row r="61" spans="1:3" ht="12.75">
      <c r="A61" s="1" t="s">
        <v>141</v>
      </c>
      <c r="B61" s="15" t="s">
        <v>83</v>
      </c>
      <c r="C61" s="80">
        <f>C60/8/(60/C59)</f>
        <v>0.03125</v>
      </c>
    </row>
    <row r="62" spans="1:3" ht="12.75">
      <c r="A62" s="1" t="s">
        <v>118</v>
      </c>
      <c r="B62" s="15" t="s">
        <v>115</v>
      </c>
      <c r="C62" s="2">
        <v>0.01</v>
      </c>
    </row>
    <row r="63" spans="1:7" ht="12.75">
      <c r="A63" s="1" t="s">
        <v>175</v>
      </c>
      <c r="B63" s="15" t="s">
        <v>44</v>
      </c>
      <c r="C63" s="58">
        <v>75</v>
      </c>
      <c r="E63" s="40"/>
      <c r="F63" s="66" t="s">
        <v>166</v>
      </c>
      <c r="G63" s="65">
        <f>C63*$C$36</f>
        <v>3750000</v>
      </c>
    </row>
    <row r="64" spans="1:3" ht="12.75">
      <c r="A64" s="1" t="s">
        <v>144</v>
      </c>
      <c r="B64" s="15" t="s">
        <v>59</v>
      </c>
      <c r="C64" s="80">
        <f>(C57+C61+C62)+(C63/(C42+C46))</f>
        <v>0.26</v>
      </c>
    </row>
    <row r="65" spans="1:3" ht="12.75">
      <c r="A65" s="1" t="s">
        <v>145</v>
      </c>
      <c r="B65" s="15" t="s">
        <v>82</v>
      </c>
      <c r="C65" s="80">
        <f>(C58+C61+C62)+(C63/(C42+C46))</f>
        <v>0.31</v>
      </c>
    </row>
    <row r="66" spans="1:3" ht="12.75">
      <c r="A66" s="1" t="s">
        <v>142</v>
      </c>
      <c r="B66" s="15" t="s">
        <v>44</v>
      </c>
      <c r="C66" s="81">
        <f>C64*'Input and Output'!C42</f>
        <v>693.4200000000001</v>
      </c>
    </row>
    <row r="67" spans="1:3" ht="12.75">
      <c r="A67" s="1" t="s">
        <v>143</v>
      </c>
      <c r="B67" s="15" t="s">
        <v>44</v>
      </c>
      <c r="C67" s="81">
        <f>C65*C46</f>
        <v>413.23</v>
      </c>
    </row>
    <row r="68" ht="4.5" customHeight="1"/>
    <row r="69" spans="1:5" ht="12.75">
      <c r="A69" s="1" t="s">
        <v>157</v>
      </c>
      <c r="B69" s="15" t="s">
        <v>35</v>
      </c>
      <c r="C69" s="3">
        <v>150000</v>
      </c>
      <c r="E69" s="40" t="s">
        <v>134</v>
      </c>
    </row>
    <row r="70" spans="1:5" ht="12.75">
      <c r="A70" s="1" t="s">
        <v>156</v>
      </c>
      <c r="B70" s="15" t="s">
        <v>35</v>
      </c>
      <c r="C70" s="77">
        <f>C36*C25*C130*0.06</f>
        <v>1050000</v>
      </c>
      <c r="E70" s="40" t="s">
        <v>158</v>
      </c>
    </row>
    <row r="71" ht="12.75">
      <c r="C71" s="14"/>
    </row>
    <row r="72" spans="1:3" ht="12.75">
      <c r="A72" s="7" t="s">
        <v>177</v>
      </c>
      <c r="B72" s="16"/>
      <c r="C72" s="11"/>
    </row>
    <row r="73" spans="1:5" ht="12.75">
      <c r="A73" s="1" t="s">
        <v>28</v>
      </c>
      <c r="B73" s="15" t="s">
        <v>84</v>
      </c>
      <c r="C73" s="77">
        <f>400000+((C36/20000)*125000)</f>
        <v>712500</v>
      </c>
      <c r="E73" s="40" t="s">
        <v>236</v>
      </c>
    </row>
    <row r="74" spans="1:5" ht="12.75">
      <c r="A74" s="1" t="s">
        <v>169</v>
      </c>
      <c r="B74" s="15" t="s">
        <v>44</v>
      </c>
      <c r="C74" s="147">
        <f>IF($C$27=$A$209,'Notes and Assumptions'!D35,IF('Input and Output'!$C$27='Input and Output'!$A$210,'Notes and Assumptions'!E35,'Notes and Assumptions'!F35))</f>
        <v>100</v>
      </c>
      <c r="E74" s="40" t="s">
        <v>235</v>
      </c>
    </row>
    <row r="75" spans="1:5" ht="12.75">
      <c r="A75" s="1" t="s">
        <v>183</v>
      </c>
      <c r="B75" s="15" t="s">
        <v>44</v>
      </c>
      <c r="C75" s="147">
        <f>IF($C$27=$A$209,'Notes and Assumptions'!D36,IF('Input and Output'!$C$27='Input and Output'!$A$210,'Notes and Assumptions'!E36,'Notes and Assumptions'!F36))</f>
        <v>200</v>
      </c>
      <c r="E75" s="51" t="s">
        <v>176</v>
      </c>
    </row>
    <row r="76" spans="1:5" ht="12.75">
      <c r="A76" s="1" t="s">
        <v>361</v>
      </c>
      <c r="B76" s="15" t="s">
        <v>44</v>
      </c>
      <c r="C76" s="147">
        <f>IF($C$27=$A$209,'Notes and Assumptions'!D37,IF('Input and Output'!$C$27='Input and Output'!$A$210,'Notes and Assumptions'!E37,'Notes and Assumptions'!F37))</f>
        <v>100</v>
      </c>
      <c r="E76" s="51"/>
    </row>
    <row r="77" ht="4.5" customHeight="1"/>
    <row r="78" spans="1:5" ht="12.75">
      <c r="A78" s="1" t="s">
        <v>191</v>
      </c>
      <c r="B78" s="15" t="s">
        <v>44</v>
      </c>
      <c r="C78" s="147">
        <f>IF($C$27=$A$209,'Notes and Assumptions'!D38,IF('Input and Output'!$C$27='Input and Output'!$A$210,'Notes and Assumptions'!E38,'Notes and Assumptions'!F38))</f>
        <v>250</v>
      </c>
      <c r="E78" s="40" t="s">
        <v>267</v>
      </c>
    </row>
    <row r="79" spans="1:5" ht="12.75">
      <c r="A79" s="1" t="s">
        <v>368</v>
      </c>
      <c r="B79" s="15" t="s">
        <v>44</v>
      </c>
      <c r="C79" s="147">
        <f>IF($C$27=$A$209,'Notes and Assumptions'!D39,IF('Input and Output'!$C$27='Input and Output'!$A$210,'Notes and Assumptions'!E39,'Notes and Assumptions'!F39))</f>
        <v>210</v>
      </c>
      <c r="E79" s="40" t="s">
        <v>267</v>
      </c>
    </row>
    <row r="80" spans="1:5" ht="12.75">
      <c r="A80" s="1" t="s">
        <v>227</v>
      </c>
      <c r="B80" s="15" t="s">
        <v>44</v>
      </c>
      <c r="C80" s="147">
        <f>IF($C$27=$A$209,'Notes and Assumptions'!D40,IF('Input and Output'!$C$27='Input and Output'!$A$210,'Notes and Assumptions'!E40,'Notes and Assumptions'!F40))</f>
        <v>500</v>
      </c>
      <c r="E80" s="40" t="s">
        <v>239</v>
      </c>
    </row>
    <row r="81" ht="4.5" customHeight="1"/>
    <row r="82" spans="1:3" ht="12.75">
      <c r="A82" s="1" t="s">
        <v>111</v>
      </c>
      <c r="B82" s="15" t="s">
        <v>26</v>
      </c>
      <c r="C82" s="3">
        <v>2</v>
      </c>
    </row>
    <row r="83" spans="1:5" ht="12.75">
      <c r="A83" s="1" t="s">
        <v>114</v>
      </c>
      <c r="B83" s="15" t="s">
        <v>115</v>
      </c>
      <c r="C83" s="80">
        <f>C60/8/(60/C82)</f>
        <v>0.041666666666666664</v>
      </c>
      <c r="E83" s="134"/>
    </row>
    <row r="84" spans="1:3" ht="12.75">
      <c r="A84" s="1" t="s">
        <v>129</v>
      </c>
      <c r="B84" s="15" t="s">
        <v>115</v>
      </c>
      <c r="C84" s="80">
        <f>C83+C62</f>
        <v>0.051666666666666666</v>
      </c>
    </row>
    <row r="85" spans="1:3" ht="12.75">
      <c r="A85" s="1" t="s">
        <v>130</v>
      </c>
      <c r="B85" s="15" t="s">
        <v>44</v>
      </c>
      <c r="C85" s="81">
        <f>C84*(C42+C46)/2</f>
        <v>103.33333333333333</v>
      </c>
    </row>
    <row r="86" ht="4.5" customHeight="1"/>
    <row r="87" spans="1:3" ht="12.75">
      <c r="A87" s="1" t="s">
        <v>228</v>
      </c>
      <c r="B87" s="15" t="s">
        <v>32</v>
      </c>
      <c r="C87" s="38">
        <v>0.02</v>
      </c>
    </row>
    <row r="88" ht="4.5" customHeight="1"/>
    <row r="89" spans="1:5" ht="12.75">
      <c r="A89" s="1" t="s">
        <v>179</v>
      </c>
      <c r="B89" s="15" t="s">
        <v>35</v>
      </c>
      <c r="C89" s="3">
        <v>25000</v>
      </c>
      <c r="E89" s="40" t="s">
        <v>221</v>
      </c>
    </row>
    <row r="90" spans="1:5" ht="12.75">
      <c r="A90" s="1" t="s">
        <v>180</v>
      </c>
      <c r="B90" s="15" t="s">
        <v>35</v>
      </c>
      <c r="C90" s="3">
        <v>10000</v>
      </c>
      <c r="E90" s="40" t="s">
        <v>186</v>
      </c>
    </row>
    <row r="91" spans="1:5" ht="12.75">
      <c r="A91" s="1" t="s">
        <v>155</v>
      </c>
      <c r="B91" s="15" t="s">
        <v>44</v>
      </c>
      <c r="C91" s="76">
        <v>2</v>
      </c>
      <c r="E91" s="40" t="s">
        <v>132</v>
      </c>
    </row>
    <row r="92" spans="1:5" ht="12.75">
      <c r="A92" s="1" t="s">
        <v>154</v>
      </c>
      <c r="B92" s="15" t="s">
        <v>44</v>
      </c>
      <c r="C92" s="76">
        <v>4</v>
      </c>
      <c r="E92" s="40" t="s">
        <v>133</v>
      </c>
    </row>
    <row r="93" ht="12.75"/>
    <row r="94" spans="1:3" ht="12.75">
      <c r="A94" s="7" t="s">
        <v>69</v>
      </c>
      <c r="B94" s="16"/>
      <c r="C94" s="11"/>
    </row>
    <row r="95" spans="1:5" ht="12.75">
      <c r="A95" s="5" t="s">
        <v>201</v>
      </c>
      <c r="B95" s="15" t="s">
        <v>32</v>
      </c>
      <c r="C95" s="20">
        <v>0.9</v>
      </c>
      <c r="E95" s="40" t="s">
        <v>307</v>
      </c>
    </row>
    <row r="96" spans="1:5" ht="12.75">
      <c r="A96" s="5" t="s">
        <v>202</v>
      </c>
      <c r="B96" s="15" t="s">
        <v>32</v>
      </c>
      <c r="C96" s="20">
        <v>0.95</v>
      </c>
      <c r="E96" s="40" t="s">
        <v>222</v>
      </c>
    </row>
    <row r="97" spans="1:5" ht="12.75">
      <c r="A97" s="5" t="s">
        <v>203</v>
      </c>
      <c r="B97" s="15" t="s">
        <v>32</v>
      </c>
      <c r="C97" s="20">
        <v>0.95</v>
      </c>
      <c r="E97" s="40" t="s">
        <v>223</v>
      </c>
    </row>
    <row r="98" spans="1:5" ht="12.75">
      <c r="A98" s="5" t="s">
        <v>204</v>
      </c>
      <c r="B98" s="15" t="s">
        <v>32</v>
      </c>
      <c r="C98" s="159">
        <f>1-(C106+C110+C114+C118)</f>
        <v>0.1441</v>
      </c>
      <c r="E98" s="40"/>
    </row>
    <row r="99" spans="5:6" ht="4.5" customHeight="1">
      <c r="E99" s="40"/>
      <c r="F99" s="40"/>
    </row>
    <row r="100" spans="1:8" ht="12.75">
      <c r="A100" s="1" t="s">
        <v>182</v>
      </c>
      <c r="B100" s="15" t="s">
        <v>45</v>
      </c>
      <c r="C100" s="3">
        <v>400</v>
      </c>
      <c r="E100" s="40" t="s">
        <v>380</v>
      </c>
      <c r="F100" s="70" t="s">
        <v>199</v>
      </c>
      <c r="G100" s="68">
        <f>C100*(1+C103)^35</f>
        <v>566.6411024125073</v>
      </c>
      <c r="H100" s="69" t="s">
        <v>45</v>
      </c>
    </row>
    <row r="101" spans="1:8" ht="12.75">
      <c r="A101" s="1" t="s">
        <v>181</v>
      </c>
      <c r="B101" s="15" t="s">
        <v>45</v>
      </c>
      <c r="C101" s="3">
        <v>150</v>
      </c>
      <c r="E101" s="40"/>
      <c r="F101" s="70" t="s">
        <v>159</v>
      </c>
      <c r="G101" s="68">
        <f>C101*(1+C103)^25</f>
        <v>192.36479925258513</v>
      </c>
      <c r="H101" s="69" t="s">
        <v>45</v>
      </c>
    </row>
    <row r="102" spans="1:8" ht="12.75">
      <c r="A102" s="1" t="s">
        <v>215</v>
      </c>
      <c r="B102" s="15" t="s">
        <v>32</v>
      </c>
      <c r="C102" s="20">
        <v>0.5</v>
      </c>
      <c r="E102" s="40" t="s">
        <v>213</v>
      </c>
      <c r="G102" s="73"/>
      <c r="H102" s="74"/>
    </row>
    <row r="103" spans="1:3" ht="12.75">
      <c r="A103" s="1" t="s">
        <v>105</v>
      </c>
      <c r="C103" s="50">
        <v>0.01</v>
      </c>
    </row>
    <row r="104" ht="4.5" customHeight="1"/>
    <row r="105" spans="1:5" ht="12.75">
      <c r="A105" s="1" t="s">
        <v>194</v>
      </c>
      <c r="C105" s="2">
        <v>10</v>
      </c>
      <c r="E105" s="51" t="s">
        <v>189</v>
      </c>
    </row>
    <row r="106" spans="1:7" ht="12.75">
      <c r="A106" s="1" t="s">
        <v>97</v>
      </c>
      <c r="B106" s="15" t="s">
        <v>92</v>
      </c>
      <c r="C106" s="82">
        <f>C44*C95*2/4</f>
        <v>0.36000000000000004</v>
      </c>
      <c r="E106" s="51" t="s">
        <v>190</v>
      </c>
      <c r="G106" s="59"/>
    </row>
    <row r="107" spans="1:6" ht="12.75">
      <c r="A107" s="1" t="s">
        <v>101</v>
      </c>
      <c r="B107" s="15" t="s">
        <v>11</v>
      </c>
      <c r="C107" s="61">
        <v>0.3</v>
      </c>
      <c r="E107" s="56">
        <f>C107*C106*$C$43</f>
        <v>14401800.000000002</v>
      </c>
      <c r="F107" s="40" t="s">
        <v>11</v>
      </c>
    </row>
    <row r="108" spans="5:6" ht="4.5" customHeight="1">
      <c r="E108" s="40"/>
      <c r="F108" s="40"/>
    </row>
    <row r="109" spans="1:6" ht="12.75" customHeight="1">
      <c r="A109" s="1" t="s">
        <v>195</v>
      </c>
      <c r="C109" s="2">
        <v>20</v>
      </c>
      <c r="E109" s="51" t="s">
        <v>189</v>
      </c>
      <c r="F109" s="40"/>
    </row>
    <row r="110" spans="1:6" ht="12.75">
      <c r="A110" s="1" t="s">
        <v>98</v>
      </c>
      <c r="B110" s="15" t="s">
        <v>92</v>
      </c>
      <c r="C110" s="82">
        <f>C44*C95*C96*1/4</f>
        <v>0.171</v>
      </c>
      <c r="E110" s="51" t="s">
        <v>190</v>
      </c>
      <c r="F110" s="40"/>
    </row>
    <row r="111" spans="1:6" ht="12.75">
      <c r="A111" s="1" t="s">
        <v>102</v>
      </c>
      <c r="B111" s="15" t="s">
        <v>11</v>
      </c>
      <c r="C111" s="61">
        <v>0.7</v>
      </c>
      <c r="E111" s="56">
        <f>C111*C110*$C$43</f>
        <v>15961995</v>
      </c>
      <c r="F111" s="40" t="s">
        <v>11</v>
      </c>
    </row>
    <row r="112" spans="5:6" ht="4.5" customHeight="1">
      <c r="E112" s="40"/>
      <c r="F112" s="40"/>
    </row>
    <row r="113" spans="1:6" ht="12.75" customHeight="1">
      <c r="A113" s="1" t="s">
        <v>196</v>
      </c>
      <c r="C113" s="2">
        <v>25</v>
      </c>
      <c r="E113" s="51" t="s">
        <v>189</v>
      </c>
      <c r="F113" s="40"/>
    </row>
    <row r="114" spans="1:6" ht="12.75" customHeight="1">
      <c r="A114" s="1" t="s">
        <v>99</v>
      </c>
      <c r="B114" s="15" t="s">
        <v>92</v>
      </c>
      <c r="C114" s="82">
        <f>C44*C95*C96*C97*1/4</f>
        <v>0.16245</v>
      </c>
      <c r="E114" s="51" t="s">
        <v>214</v>
      </c>
      <c r="F114" s="40"/>
    </row>
    <row r="115" spans="1:6" ht="12.75" customHeight="1">
      <c r="A115" s="1" t="s">
        <v>103</v>
      </c>
      <c r="B115" s="15" t="s">
        <v>11</v>
      </c>
      <c r="C115" s="61">
        <v>1</v>
      </c>
      <c r="E115" s="56">
        <f>C115*C114*$C$43</f>
        <v>21662707.5</v>
      </c>
      <c r="F115" s="40" t="s">
        <v>11</v>
      </c>
    </row>
    <row r="116" spans="5:6" ht="4.5" customHeight="1">
      <c r="E116" s="40"/>
      <c r="F116" s="40"/>
    </row>
    <row r="117" spans="1:8" ht="12.75" customHeight="1">
      <c r="A117" s="1" t="s">
        <v>104</v>
      </c>
      <c r="C117" s="83">
        <f>C25</f>
        <v>35</v>
      </c>
      <c r="E117" s="40" t="s">
        <v>192</v>
      </c>
      <c r="F117" s="40"/>
      <c r="G117" s="135"/>
      <c r="H117" s="40"/>
    </row>
    <row r="118" spans="1:8" ht="12.75" customHeight="1">
      <c r="A118" s="1" t="s">
        <v>86</v>
      </c>
      <c r="B118" s="15" t="s">
        <v>92</v>
      </c>
      <c r="C118" s="84">
        <f>C45*C95*C96*C97</f>
        <v>0.16245</v>
      </c>
      <c r="E118" s="51" t="s">
        <v>214</v>
      </c>
      <c r="F118" s="40"/>
      <c r="G118" s="40"/>
      <c r="H118" s="40"/>
    </row>
    <row r="119" spans="1:6" ht="12.75">
      <c r="A119" s="1" t="s">
        <v>100</v>
      </c>
      <c r="B119" s="15" t="s">
        <v>11</v>
      </c>
      <c r="C119" s="61">
        <v>1</v>
      </c>
      <c r="E119" s="56">
        <f>C119*C118*$C$43</f>
        <v>21662707.5</v>
      </c>
      <c r="F119" s="40" t="s">
        <v>11</v>
      </c>
    </row>
    <row r="120" ht="4.5" customHeight="1"/>
    <row r="121" spans="1:5" ht="12.75">
      <c r="A121" s="1" t="s">
        <v>224</v>
      </c>
      <c r="C121" s="83">
        <f>C24</f>
        <v>5</v>
      </c>
      <c r="E121" s="40"/>
    </row>
    <row r="122" spans="1:8" ht="12.75">
      <c r="A122" s="1" t="s">
        <v>87</v>
      </c>
      <c r="B122" s="15" t="s">
        <v>71</v>
      </c>
      <c r="C122" s="61">
        <v>2</v>
      </c>
      <c r="F122" s="70" t="s">
        <v>200</v>
      </c>
      <c r="G122" s="68">
        <f>C122*(1+C123)^(35-C121+1)</f>
        <v>5.000160690650699</v>
      </c>
      <c r="H122" s="69" t="s">
        <v>71</v>
      </c>
    </row>
    <row r="123" spans="1:8" ht="12.75">
      <c r="A123" s="1" t="s">
        <v>127</v>
      </c>
      <c r="B123" s="15" t="s">
        <v>120</v>
      </c>
      <c r="C123" s="50">
        <v>0.03</v>
      </c>
      <c r="E123" s="40"/>
      <c r="F123" s="40"/>
      <c r="G123" s="60"/>
      <c r="H123" s="51"/>
    </row>
    <row r="124" spans="1:8" ht="12.75">
      <c r="A124" s="1" t="s">
        <v>370</v>
      </c>
      <c r="B124" s="15" t="s">
        <v>70</v>
      </c>
      <c r="C124" s="61">
        <v>0.75</v>
      </c>
      <c r="F124" s="70" t="s">
        <v>199</v>
      </c>
      <c r="G124" s="68">
        <f>C124*(1+C125)^35</f>
        <v>1.499917164496841</v>
      </c>
      <c r="H124" s="69" t="s">
        <v>70</v>
      </c>
    </row>
    <row r="125" spans="1:3" ht="12.75">
      <c r="A125" s="1" t="s">
        <v>106</v>
      </c>
      <c r="C125" s="50">
        <v>0.02</v>
      </c>
    </row>
    <row r="127" spans="1:3" ht="12.75">
      <c r="A127" s="7" t="s">
        <v>150</v>
      </c>
      <c r="B127" s="16"/>
      <c r="C127" s="11"/>
    </row>
    <row r="128" spans="1:5" ht="12.75">
      <c r="A128" s="5" t="s">
        <v>152</v>
      </c>
      <c r="B128" s="18"/>
      <c r="C128" s="19" t="s">
        <v>46</v>
      </c>
      <c r="E128" s="194" t="s">
        <v>315</v>
      </c>
    </row>
    <row r="129" spans="1:3" ht="12.75">
      <c r="A129" s="5" t="s">
        <v>151</v>
      </c>
      <c r="B129" s="18" t="s">
        <v>41</v>
      </c>
      <c r="C129" s="5">
        <v>2</v>
      </c>
    </row>
    <row r="130" spans="1:5" ht="12.75">
      <c r="A130" s="1" t="s">
        <v>148</v>
      </c>
      <c r="B130" s="15" t="s">
        <v>43</v>
      </c>
      <c r="C130" s="3">
        <v>10</v>
      </c>
      <c r="E130" s="40" t="s">
        <v>149</v>
      </c>
    </row>
    <row r="131" spans="1:3" ht="12.75">
      <c r="A131" s="1" t="s">
        <v>305</v>
      </c>
      <c r="B131" s="15" t="s">
        <v>48</v>
      </c>
      <c r="C131" s="3">
        <v>1</v>
      </c>
    </row>
    <row r="132" spans="1:8" ht="12.75">
      <c r="A132" s="1" t="s">
        <v>306</v>
      </c>
      <c r="B132" s="15" t="s">
        <v>35</v>
      </c>
      <c r="C132" s="4">
        <v>6</v>
      </c>
      <c r="E132" s="40" t="s">
        <v>131</v>
      </c>
      <c r="F132" s="70" t="s">
        <v>159</v>
      </c>
      <c r="G132" s="68">
        <f>C132*(1+C133)^25</f>
        <v>25.751224318460928</v>
      </c>
      <c r="H132" s="69" t="s">
        <v>164</v>
      </c>
    </row>
    <row r="133" spans="1:3" ht="12.75">
      <c r="A133" s="1" t="s">
        <v>153</v>
      </c>
      <c r="B133" s="15" t="s">
        <v>32</v>
      </c>
      <c r="C133" s="38">
        <v>0.06</v>
      </c>
    </row>
    <row r="134" spans="1:5" ht="12.75">
      <c r="A134" s="1" t="s">
        <v>147</v>
      </c>
      <c r="B134" s="15" t="s">
        <v>32</v>
      </c>
      <c r="C134" s="38">
        <v>0.8</v>
      </c>
      <c r="E134" s="40" t="s">
        <v>146</v>
      </c>
    </row>
    <row r="135" ht="12.75">
      <c r="C135" s="38"/>
    </row>
    <row r="137" spans="1:7" s="30" customFormat="1" ht="12.75">
      <c r="A137" s="7" t="s">
        <v>216</v>
      </c>
      <c r="B137" s="9"/>
      <c r="C137" s="29"/>
      <c r="D137" s="26"/>
      <c r="E137" s="5" t="s">
        <v>74</v>
      </c>
      <c r="F137" s="26"/>
      <c r="G137" s="26"/>
    </row>
    <row r="138" spans="1:3" ht="12.75">
      <c r="A138" s="41" t="s">
        <v>14</v>
      </c>
      <c r="B138" s="42"/>
      <c r="C138" s="43">
        <v>0.3</v>
      </c>
    </row>
    <row r="139" spans="1:3" ht="12.75">
      <c r="A139" s="41" t="s">
        <v>13</v>
      </c>
      <c r="B139" s="42"/>
      <c r="C139" s="43">
        <v>0.6</v>
      </c>
    </row>
    <row r="140" spans="1:3" ht="13.5" customHeight="1">
      <c r="A140" s="41" t="s">
        <v>15</v>
      </c>
      <c r="B140" s="42"/>
      <c r="C140" s="43">
        <v>0.1</v>
      </c>
    </row>
    <row r="141" spans="1:3" ht="12.75">
      <c r="A141" s="44" t="s">
        <v>17</v>
      </c>
      <c r="B141" s="42" t="s">
        <v>35</v>
      </c>
      <c r="C141" s="45"/>
    </row>
    <row r="142" spans="1:3" ht="12.75">
      <c r="A142" s="46" t="s">
        <v>18</v>
      </c>
      <c r="B142" s="42"/>
      <c r="C142" s="44">
        <v>25</v>
      </c>
    </row>
    <row r="143" spans="1:3" ht="12.75">
      <c r="A143" s="46" t="s">
        <v>19</v>
      </c>
      <c r="B143" s="42"/>
      <c r="C143" s="44">
        <v>1</v>
      </c>
    </row>
    <row r="144" spans="1:3" ht="12.75">
      <c r="A144" s="47" t="s">
        <v>20</v>
      </c>
      <c r="B144" s="42"/>
      <c r="C144" s="48"/>
    </row>
    <row r="145" spans="1:3" ht="12.75">
      <c r="A145" s="47" t="s">
        <v>21</v>
      </c>
      <c r="B145" s="42"/>
      <c r="C145" s="48">
        <v>0.01</v>
      </c>
    </row>
    <row r="146" spans="1:3" ht="12.75">
      <c r="A146" s="47" t="s">
        <v>22</v>
      </c>
      <c r="B146" s="42"/>
      <c r="C146" s="47">
        <v>10</v>
      </c>
    </row>
    <row r="147" spans="1:3" ht="12.75">
      <c r="A147" s="41" t="s">
        <v>49</v>
      </c>
      <c r="B147" s="42" t="s">
        <v>35</v>
      </c>
      <c r="C147" s="44"/>
    </row>
    <row r="148" spans="1:3" ht="12.75">
      <c r="A148" s="41" t="s">
        <v>16</v>
      </c>
      <c r="B148" s="42"/>
      <c r="C148" s="43">
        <v>0.07</v>
      </c>
    </row>
    <row r="149" spans="1:3" ht="12.75">
      <c r="A149" s="41" t="s">
        <v>23</v>
      </c>
      <c r="B149" s="42" t="s">
        <v>35</v>
      </c>
      <c r="C149" s="44"/>
    </row>
    <row r="151" spans="1:7" s="30" customFormat="1" ht="12.75">
      <c r="A151" s="7" t="s">
        <v>6</v>
      </c>
      <c r="B151" s="9"/>
      <c r="C151" s="29"/>
      <c r="D151" s="26"/>
      <c r="E151" s="5"/>
      <c r="F151" s="26"/>
      <c r="G151" s="26"/>
    </row>
    <row r="152" spans="1:5" s="5" customFormat="1" ht="12.75">
      <c r="A152" s="5" t="s">
        <v>7</v>
      </c>
      <c r="B152" s="18"/>
      <c r="C152" s="187">
        <v>0.2</v>
      </c>
      <c r="E152" s="40"/>
    </row>
    <row r="154" spans="1:7" s="30" customFormat="1" ht="12.75">
      <c r="A154" s="7" t="s">
        <v>217</v>
      </c>
      <c r="B154" s="9"/>
      <c r="C154" s="29"/>
      <c r="D154" s="26"/>
      <c r="E154" s="5"/>
      <c r="F154" s="26"/>
      <c r="G154" s="26"/>
    </row>
    <row r="155" spans="1:3" ht="12.75">
      <c r="A155" s="41" t="s">
        <v>37</v>
      </c>
      <c r="B155" s="42"/>
      <c r="C155" s="42" t="s">
        <v>38</v>
      </c>
    </row>
    <row r="156" spans="1:3" ht="12.75">
      <c r="A156" s="41" t="s">
        <v>39</v>
      </c>
      <c r="B156" s="42" t="s">
        <v>29</v>
      </c>
      <c r="C156" s="47">
        <v>10</v>
      </c>
    </row>
    <row r="157" spans="1:3" ht="12.75">
      <c r="A157" s="41" t="s">
        <v>10</v>
      </c>
      <c r="B157" s="42" t="s">
        <v>35</v>
      </c>
      <c r="C157" s="44"/>
    </row>
    <row r="158" spans="1:2" ht="12.75">
      <c r="A158" s="2"/>
      <c r="B158" s="2"/>
    </row>
    <row r="160" spans="1:7" ht="12" customHeight="1">
      <c r="A160" s="6" t="s">
        <v>268</v>
      </c>
      <c r="B160" s="8" t="s">
        <v>31</v>
      </c>
      <c r="C160" s="10" t="s">
        <v>67</v>
      </c>
      <c r="D160" s="26"/>
      <c r="E160" s="26"/>
      <c r="F160" s="26"/>
      <c r="G160" s="26"/>
    </row>
    <row r="161" spans="1:5" ht="12.75">
      <c r="A161" s="7" t="s">
        <v>229</v>
      </c>
      <c r="B161" s="16"/>
      <c r="C161" s="11"/>
      <c r="E161" s="40" t="s">
        <v>270</v>
      </c>
    </row>
    <row r="162" spans="1:3" ht="12.75">
      <c r="A162" s="137" t="s">
        <v>247</v>
      </c>
      <c r="B162" s="18"/>
      <c r="C162" s="136"/>
    </row>
    <row r="163" spans="1:3" ht="12.75">
      <c r="A163" s="1" t="s">
        <v>184</v>
      </c>
      <c r="B163" s="15" t="s">
        <v>230</v>
      </c>
      <c r="C163" s="83">
        <f>160*8</f>
        <v>1280</v>
      </c>
    </row>
    <row r="164" spans="1:3" ht="12.75">
      <c r="A164" s="1" t="s">
        <v>172</v>
      </c>
      <c r="B164" s="15" t="s">
        <v>230</v>
      </c>
      <c r="C164" s="83">
        <f>C36*'Notes and Assumptions'!I32*8</f>
        <v>800000</v>
      </c>
    </row>
    <row r="165" spans="1:3" ht="12.75">
      <c r="A165" s="1" t="s">
        <v>171</v>
      </c>
      <c r="B165" s="15" t="s">
        <v>230</v>
      </c>
      <c r="C165" s="83">
        <f>C36*'Notes and Assumptions'!I33*8</f>
        <v>1200000</v>
      </c>
    </row>
    <row r="166" spans="1:3" ht="12.75">
      <c r="A166" s="1" t="s">
        <v>231</v>
      </c>
      <c r="B166" s="15" t="s">
        <v>230</v>
      </c>
      <c r="C166" s="83">
        <f>C59*C55/12</f>
        <v>12500000</v>
      </c>
    </row>
    <row r="167" spans="1:3" ht="12.75">
      <c r="A167" s="1" t="s">
        <v>246</v>
      </c>
      <c r="B167" s="15" t="s">
        <v>230</v>
      </c>
      <c r="C167" s="83">
        <f>C69/50000*40*40</f>
        <v>4800</v>
      </c>
    </row>
    <row r="168" spans="2:3" ht="12.75">
      <c r="B168" s="18"/>
      <c r="C168" s="143"/>
    </row>
    <row r="169" spans="1:3" ht="12.75">
      <c r="A169" s="138" t="s">
        <v>248</v>
      </c>
      <c r="B169" s="18"/>
      <c r="C169" s="143"/>
    </row>
    <row r="170" spans="1:5" ht="12.75">
      <c r="A170" s="1" t="s">
        <v>28</v>
      </c>
      <c r="B170" s="15" t="s">
        <v>230</v>
      </c>
      <c r="C170" s="83">
        <f>(3+(C73-400000)/125000)*1600</f>
        <v>8800</v>
      </c>
      <c r="E170" s="49"/>
    </row>
    <row r="171" spans="1:3" ht="12.75">
      <c r="A171" s="1" t="s">
        <v>171</v>
      </c>
      <c r="B171" s="15" t="s">
        <v>230</v>
      </c>
      <c r="C171" s="83">
        <f>C36*'Notes and Assumptions'!I35*8*35</f>
        <v>70000000</v>
      </c>
    </row>
    <row r="172" spans="1:3" ht="12.75">
      <c r="A172" s="1" t="s">
        <v>234</v>
      </c>
      <c r="B172" s="15" t="s">
        <v>230</v>
      </c>
      <c r="C172" s="83">
        <f>C82*C55/12</f>
        <v>16666666.666666666</v>
      </c>
    </row>
    <row r="173" spans="1:3" ht="12.75">
      <c r="A173" s="1" t="s">
        <v>237</v>
      </c>
      <c r="B173" s="15" t="s">
        <v>230</v>
      </c>
      <c r="C173" s="83">
        <f>C36*'Notes and Assumptions'!I36*8*7</f>
        <v>28000000</v>
      </c>
    </row>
    <row r="174" spans="1:3" ht="12.75">
      <c r="A174" s="1" t="s">
        <v>238</v>
      </c>
      <c r="B174" s="15" t="s">
        <v>230</v>
      </c>
      <c r="C174" s="83">
        <f>C36*'Notes and Assumptions'!I37*8*27</f>
        <v>54000000</v>
      </c>
    </row>
    <row r="175" spans="1:3" ht="12.75">
      <c r="A175" s="1" t="s">
        <v>233</v>
      </c>
      <c r="B175" s="15" t="s">
        <v>230</v>
      </c>
      <c r="C175" s="83">
        <f>C36*'Notes and Assumptions'!I40*8*30</f>
        <v>240000000</v>
      </c>
    </row>
    <row r="176" spans="1:3" ht="12.75">
      <c r="A176" s="1" t="s">
        <v>240</v>
      </c>
      <c r="B176" s="15" t="s">
        <v>230</v>
      </c>
      <c r="C176" s="83">
        <f>C106*C36*'Notes and Assumptions'!I38*8</f>
        <v>1440000.0000000002</v>
      </c>
    </row>
    <row r="177" spans="1:3" ht="12.75">
      <c r="A177" s="1" t="s">
        <v>241</v>
      </c>
      <c r="B177" s="15" t="s">
        <v>230</v>
      </c>
      <c r="C177" s="83">
        <f>C110*C36*'Notes and Assumptions'!I38*8</f>
        <v>684000</v>
      </c>
    </row>
    <row r="178" spans="1:3" ht="12.75">
      <c r="A178" s="1" t="s">
        <v>242</v>
      </c>
      <c r="B178" s="15" t="s">
        <v>230</v>
      </c>
      <c r="C178" s="83">
        <f>C114*C36*'Notes and Assumptions'!I39*8</f>
        <v>389880.00000000006</v>
      </c>
    </row>
    <row r="179" spans="1:3" ht="12.75">
      <c r="A179" s="1" t="s">
        <v>243</v>
      </c>
      <c r="B179" s="15" t="s">
        <v>230</v>
      </c>
      <c r="C179" s="83">
        <f>C118*C36*'Notes and Assumptions'!I39*8</f>
        <v>389880.00000000006</v>
      </c>
    </row>
    <row r="180" spans="1:3" ht="12.75">
      <c r="A180" s="1" t="s">
        <v>244</v>
      </c>
      <c r="B180" s="15" t="s">
        <v>230</v>
      </c>
      <c r="C180" s="83">
        <f>C90/2/50000*40*40*25</f>
        <v>4000</v>
      </c>
    </row>
    <row r="181" spans="1:3" ht="12.75">
      <c r="A181" s="1" t="s">
        <v>245</v>
      </c>
      <c r="B181" s="15" t="s">
        <v>230</v>
      </c>
      <c r="C181" s="83">
        <f>(C91+C92)*C36/50000/2*40*40*34</f>
        <v>163200</v>
      </c>
    </row>
    <row r="182" ht="12.75">
      <c r="C182" s="83"/>
    </row>
    <row r="183" spans="1:3" ht="38.25" customHeight="1">
      <c r="A183" s="142" t="s">
        <v>298</v>
      </c>
      <c r="B183" s="154" t="s">
        <v>230</v>
      </c>
      <c r="C183" s="144">
        <f>0.5*SUM(C163:C181)</f>
        <v>213126253.33333334</v>
      </c>
    </row>
    <row r="184" spans="1:3" ht="12.75">
      <c r="A184" s="139"/>
      <c r="B184" s="140"/>
      <c r="C184" s="145"/>
    </row>
    <row r="185" spans="1:3" ht="12.75">
      <c r="A185" s="155" t="s">
        <v>249</v>
      </c>
      <c r="B185" s="156" t="s">
        <v>230</v>
      </c>
      <c r="C185" s="157">
        <f>SUM(C163:C183)</f>
        <v>639378760</v>
      </c>
    </row>
    <row r="186" spans="1:3" ht="12.75">
      <c r="A186" s="160" t="s">
        <v>328</v>
      </c>
      <c r="B186" s="158" t="s">
        <v>232</v>
      </c>
      <c r="C186" s="157">
        <f>C185/1600/35</f>
        <v>11417.477857142856</v>
      </c>
    </row>
    <row r="187" ht="12.75">
      <c r="C187" s="141"/>
    </row>
    <row r="209" ht="12.75">
      <c r="A209" s="1" t="str">
        <f>'Notes and Assumptions'!D26</f>
        <v>Africa</v>
      </c>
    </row>
    <row r="210" ht="12.75">
      <c r="A210" s="1" t="str">
        <f>'Notes and Assumptions'!E26</f>
        <v>Europe</v>
      </c>
    </row>
    <row r="211" ht="12.75">
      <c r="A211" s="1" t="str">
        <f>'Notes and Assumptions'!F26</f>
        <v>USA</v>
      </c>
    </row>
    <row r="213" ht="12.75">
      <c r="A213" s="1" t="s">
        <v>46</v>
      </c>
    </row>
    <row r="214" ht="12.75">
      <c r="A214" s="1" t="s">
        <v>47</v>
      </c>
    </row>
    <row r="216" ht="12.75">
      <c r="A216" s="1" t="s">
        <v>54</v>
      </c>
    </row>
    <row r="217" ht="12.75">
      <c r="A217" s="1" t="s">
        <v>53</v>
      </c>
    </row>
    <row r="219" ht="12.75">
      <c r="A219" s="1" t="s">
        <v>210</v>
      </c>
    </row>
    <row r="220" ht="12.75">
      <c r="A220" s="1" t="s">
        <v>208</v>
      </c>
    </row>
  </sheetData>
  <sheetProtection/>
  <dataValidations count="4">
    <dataValidation type="list" allowBlank="1" showInputMessage="1" showErrorMessage="1" sqref="C128">
      <formula1>$A$213:$A$214</formula1>
    </dataValidation>
    <dataValidation type="list" allowBlank="1" showInputMessage="1" showErrorMessage="1" sqref="C33">
      <formula1>$A$216:$A$217</formula1>
    </dataValidation>
    <dataValidation type="list" allowBlank="1" showInputMessage="1" showErrorMessage="1" sqref="C50">
      <formula1>$A$219:$A$220</formula1>
    </dataValidation>
    <dataValidation type="list" allowBlank="1" showInputMessage="1" showErrorMessage="1" sqref="C27">
      <formula1>$A$209:$A$211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4"/>
  <headerFooter alignWithMargins="0">
    <oddFooter>&amp;L&amp;8Groasis&amp;C&amp;8Financial model for a reforestation project&amp;R&amp;8Copyright Wout Hoff</oddFooter>
  </headerFooter>
  <rowBreaks count="4" manualBreakCount="4">
    <brk id="18" max="2" man="1"/>
    <brk id="71" max="2" man="1"/>
    <brk id="136" max="2" man="1"/>
    <brk id="186" max="2" man="1"/>
  </rowBreaks>
  <colBreaks count="1" manualBreakCount="1">
    <brk id="3" max="127"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2"/>
  </sheetPr>
  <dimension ref="A1:AR70"/>
  <sheetViews>
    <sheetView zoomScale="120" zoomScaleNormal="120" zoomScalePageLayoutView="0" workbookViewId="0" topLeftCell="A1">
      <pane xSplit="3" ySplit="5" topLeftCell="D58" activePane="bottomRight" state="frozen"/>
      <selection pane="topLeft" activeCell="A1" sqref="A1"/>
      <selection pane="topRight" activeCell="D1" sqref="D1"/>
      <selection pane="bottomLeft" activeCell="A5" sqref="A5"/>
      <selection pane="bottomRight" activeCell="A1" sqref="A1"/>
    </sheetView>
  </sheetViews>
  <sheetFormatPr defaultColWidth="8.8515625" defaultRowHeight="12.75"/>
  <cols>
    <col min="1" max="1" width="26.28125" style="94" customWidth="1"/>
    <col min="2" max="2" width="6.28125" style="94" customWidth="1"/>
    <col min="3" max="3" width="12.57421875" style="94" customWidth="1"/>
    <col min="4" max="4" width="10.7109375" style="94" customWidth="1"/>
    <col min="5" max="11" width="10.28125" style="94" bestFit="1" customWidth="1"/>
    <col min="12" max="12" width="9.57421875" style="94" bestFit="1" customWidth="1"/>
    <col min="13" max="23" width="9.7109375" style="94" bestFit="1" customWidth="1"/>
    <col min="24" max="33" width="9.140625" style="94" customWidth="1"/>
    <col min="34" max="37" width="8.8515625" style="95" customWidth="1"/>
    <col min="38" max="43" width="9.8515625" style="95" bestFit="1" customWidth="1"/>
    <col min="44" max="16384" width="8.8515625" style="95" customWidth="1"/>
  </cols>
  <sheetData>
    <row r="1" spans="2:7" s="1" customFormat="1" ht="12.75">
      <c r="B1" s="15"/>
      <c r="C1" s="2"/>
      <c r="D1" s="5"/>
      <c r="E1" s="5"/>
      <c r="F1" s="5"/>
      <c r="G1" s="5"/>
    </row>
    <row r="2" spans="2:7" s="22" customFormat="1" ht="13.5" thickBot="1">
      <c r="B2" s="23"/>
      <c r="D2" s="21"/>
      <c r="E2" s="21"/>
      <c r="F2" s="21"/>
      <c r="G2" s="21"/>
    </row>
    <row r="3" spans="1:44" s="89" customFormat="1" ht="11.25">
      <c r="A3" s="85" t="s">
        <v>52</v>
      </c>
      <c r="B3" s="86"/>
      <c r="C3" s="86"/>
      <c r="D3" s="87">
        <v>1</v>
      </c>
      <c r="E3" s="87">
        <f>IF(D3=0,0,IF(D3&lt;'Input and Output'!$C$25,Workings!D3+1,0))</f>
        <v>2</v>
      </c>
      <c r="F3" s="87">
        <f>IF(E3=0,0,IF(E3&lt;'Input and Output'!$C$25,Workings!E3+1,0))</f>
        <v>3</v>
      </c>
      <c r="G3" s="87">
        <f>IF(F3=0,0,IF(F3&lt;'Input and Output'!$C$25,Workings!F3+1,0))</f>
        <v>4</v>
      </c>
      <c r="H3" s="87">
        <f>IF(G3=0,0,IF(G3&lt;'Input and Output'!$C$25,Workings!G3+1,0))</f>
        <v>5</v>
      </c>
      <c r="I3" s="87">
        <f>IF(H3=0,0,IF(H3&lt;'Input and Output'!$C$25,Workings!H3+1,0))</f>
        <v>6</v>
      </c>
      <c r="J3" s="87">
        <f>IF(I3=0,0,IF(I3&lt;'Input and Output'!$C$25,Workings!I3+1,0))</f>
        <v>7</v>
      </c>
      <c r="K3" s="87">
        <f>IF(J3=0,0,IF(J3&lt;'Input and Output'!$C$25,Workings!J3+1,0))</f>
        <v>8</v>
      </c>
      <c r="L3" s="87">
        <f>IF(K3=0,0,IF(K3&lt;'Input and Output'!$C$25,Workings!K3+1,0))</f>
        <v>9</v>
      </c>
      <c r="M3" s="87">
        <f>IF(L3=0,0,IF(L3&lt;'Input and Output'!$C$25,Workings!L3+1,0))</f>
        <v>10</v>
      </c>
      <c r="N3" s="87">
        <f>IF(M3=0,0,IF(M3&lt;'Input and Output'!$C$25,Workings!M3+1,0))</f>
        <v>11</v>
      </c>
      <c r="O3" s="87">
        <f>IF(N3=0,0,IF(N3&lt;'Input and Output'!$C$25,Workings!N3+1,0))</f>
        <v>12</v>
      </c>
      <c r="P3" s="87">
        <f>IF(O3=0,0,IF(O3&lt;'Input and Output'!$C$25,Workings!O3+1,0))</f>
        <v>13</v>
      </c>
      <c r="Q3" s="87">
        <f>IF(P3=0,0,IF(P3&lt;'Input and Output'!$C$25,Workings!P3+1,0))</f>
        <v>14</v>
      </c>
      <c r="R3" s="87">
        <f>IF(Q3=0,0,IF(Q3&lt;'Input and Output'!$C$25,Workings!Q3+1,0))</f>
        <v>15</v>
      </c>
      <c r="S3" s="87">
        <f>IF(R3=0,0,IF(R3&lt;'Input and Output'!$C$25,Workings!R3+1,0))</f>
        <v>16</v>
      </c>
      <c r="T3" s="87">
        <f>IF(S3=0,0,IF(S3&lt;'Input and Output'!$C$25,Workings!S3+1,0))</f>
        <v>17</v>
      </c>
      <c r="U3" s="87">
        <f>IF(T3=0,0,IF(T3&lt;'Input and Output'!$C$25,Workings!T3+1,0))</f>
        <v>18</v>
      </c>
      <c r="V3" s="87">
        <f>IF(U3=0,0,IF(U3&lt;'Input and Output'!$C$25,Workings!U3+1,0))</f>
        <v>19</v>
      </c>
      <c r="W3" s="87">
        <f>IF(V3=0,0,IF(V3&lt;'Input and Output'!$C$25,Workings!V3+1,0))</f>
        <v>20</v>
      </c>
      <c r="X3" s="87">
        <f>IF(W3=0,0,IF(W3&lt;'Input and Output'!$C$25,Workings!W3+1,0))</f>
        <v>21</v>
      </c>
      <c r="Y3" s="87">
        <f>IF(X3=0,0,IF(X3&lt;'Input and Output'!$C$25,Workings!X3+1,0))</f>
        <v>22</v>
      </c>
      <c r="Z3" s="87">
        <f>IF(Y3=0,0,IF(Y3&lt;'Input and Output'!$C$25,Workings!Y3+1,0))</f>
        <v>23</v>
      </c>
      <c r="AA3" s="87">
        <f>IF(Z3=0,0,IF(Z3&lt;'Input and Output'!$C$25,Workings!Z3+1,0))</f>
        <v>24</v>
      </c>
      <c r="AB3" s="87">
        <f>IF(AA3=0,0,IF(AA3&lt;'Input and Output'!$C$25,Workings!AA3+1,0))</f>
        <v>25</v>
      </c>
      <c r="AC3" s="87">
        <f>IF(AB3=0,0,IF(AB3&lt;'Input and Output'!$C$25,Workings!AB3+1,0))</f>
        <v>26</v>
      </c>
      <c r="AD3" s="87">
        <f>IF(AC3=0,0,IF(AC3&lt;'Input and Output'!$C$25,Workings!AC3+1,0))</f>
        <v>27</v>
      </c>
      <c r="AE3" s="87">
        <f>IF(AD3=0,0,IF(AD3&lt;'Input and Output'!$C$25,Workings!AD3+1,0))</f>
        <v>28</v>
      </c>
      <c r="AF3" s="87">
        <f>IF(AE3=0,0,IF(AE3&lt;'Input and Output'!$C$25,Workings!AE3+1,0))</f>
        <v>29</v>
      </c>
      <c r="AG3" s="87">
        <f>IF(AF3=0,0,IF(AF3&lt;'Input and Output'!$C$25,Workings!AF3+1,0))</f>
        <v>30</v>
      </c>
      <c r="AH3" s="87">
        <f>IF(AG3=0,0,IF(AG3&lt;'Input and Output'!$C$25,Workings!AG3+1,0))</f>
        <v>31</v>
      </c>
      <c r="AI3" s="87">
        <f>IF(AH3=0,0,IF(AH3&lt;'Input and Output'!$C$25,Workings!AH3+1,0))</f>
        <v>32</v>
      </c>
      <c r="AJ3" s="87">
        <f>IF(AI3=0,0,IF(AI3&lt;'Input and Output'!$C$25,Workings!AI3+1,0))</f>
        <v>33</v>
      </c>
      <c r="AK3" s="87">
        <f>IF(AJ3=0,0,IF(AJ3&lt;'Input and Output'!$C$25,Workings!AJ3+1,0))</f>
        <v>34</v>
      </c>
      <c r="AL3" s="87">
        <f>IF(AK3=0,0,IF(AK3&lt;'Input and Output'!$C$25,Workings!AK3+1,0))</f>
        <v>35</v>
      </c>
      <c r="AM3" s="87"/>
      <c r="AN3" s="87"/>
      <c r="AO3" s="87"/>
      <c r="AP3" s="87"/>
      <c r="AQ3" s="87"/>
      <c r="AR3" s="88"/>
    </row>
    <row r="4" spans="1:44" s="91" customFormat="1" ht="11.25">
      <c r="A4" s="90"/>
      <c r="B4" s="90" t="s">
        <v>31</v>
      </c>
      <c r="C4" s="90" t="s">
        <v>51</v>
      </c>
      <c r="D4" s="90">
        <f>'Input and Output'!C21</f>
        <v>2011</v>
      </c>
      <c r="E4" s="90">
        <f>IF(E3=0,0,IF(E3&gt;0,$D$4+E3-1))</f>
        <v>2012</v>
      </c>
      <c r="F4" s="90">
        <f aca="true" t="shared" si="0" ref="F4:AL4">IF(F3=0,0,IF(F3&gt;0,$D$4+F3-1))</f>
        <v>2013</v>
      </c>
      <c r="G4" s="90">
        <f t="shared" si="0"/>
        <v>2014</v>
      </c>
      <c r="H4" s="90">
        <f t="shared" si="0"/>
        <v>2015</v>
      </c>
      <c r="I4" s="90">
        <f t="shared" si="0"/>
        <v>2016</v>
      </c>
      <c r="J4" s="90">
        <f t="shared" si="0"/>
        <v>2017</v>
      </c>
      <c r="K4" s="90">
        <f t="shared" si="0"/>
        <v>2018</v>
      </c>
      <c r="L4" s="90">
        <f t="shared" si="0"/>
        <v>2019</v>
      </c>
      <c r="M4" s="90">
        <f t="shared" si="0"/>
        <v>2020</v>
      </c>
      <c r="N4" s="90">
        <f t="shared" si="0"/>
        <v>2021</v>
      </c>
      <c r="O4" s="90">
        <f t="shared" si="0"/>
        <v>2022</v>
      </c>
      <c r="P4" s="90">
        <f t="shared" si="0"/>
        <v>2023</v>
      </c>
      <c r="Q4" s="90">
        <f t="shared" si="0"/>
        <v>2024</v>
      </c>
      <c r="R4" s="90">
        <f t="shared" si="0"/>
        <v>2025</v>
      </c>
      <c r="S4" s="90">
        <f t="shared" si="0"/>
        <v>2026</v>
      </c>
      <c r="T4" s="90">
        <f t="shared" si="0"/>
        <v>2027</v>
      </c>
      <c r="U4" s="90">
        <f t="shared" si="0"/>
        <v>2028</v>
      </c>
      <c r="V4" s="90">
        <f t="shared" si="0"/>
        <v>2029</v>
      </c>
      <c r="W4" s="90">
        <f t="shared" si="0"/>
        <v>2030</v>
      </c>
      <c r="X4" s="90">
        <f t="shared" si="0"/>
        <v>2031</v>
      </c>
      <c r="Y4" s="90">
        <f t="shared" si="0"/>
        <v>2032</v>
      </c>
      <c r="Z4" s="90">
        <f t="shared" si="0"/>
        <v>2033</v>
      </c>
      <c r="AA4" s="90">
        <f t="shared" si="0"/>
        <v>2034</v>
      </c>
      <c r="AB4" s="90">
        <f t="shared" si="0"/>
        <v>2035</v>
      </c>
      <c r="AC4" s="90">
        <f t="shared" si="0"/>
        <v>2036</v>
      </c>
      <c r="AD4" s="90">
        <f t="shared" si="0"/>
        <v>2037</v>
      </c>
      <c r="AE4" s="90">
        <f t="shared" si="0"/>
        <v>2038</v>
      </c>
      <c r="AF4" s="90">
        <f t="shared" si="0"/>
        <v>2039</v>
      </c>
      <c r="AG4" s="90">
        <f t="shared" si="0"/>
        <v>2040</v>
      </c>
      <c r="AH4" s="90">
        <f t="shared" si="0"/>
        <v>2041</v>
      </c>
      <c r="AI4" s="90">
        <f t="shared" si="0"/>
        <v>2042</v>
      </c>
      <c r="AJ4" s="90">
        <f t="shared" si="0"/>
        <v>2043</v>
      </c>
      <c r="AK4" s="90">
        <f t="shared" si="0"/>
        <v>2044</v>
      </c>
      <c r="AL4" s="90">
        <f t="shared" si="0"/>
        <v>2045</v>
      </c>
      <c r="AM4" s="90"/>
      <c r="AN4" s="90"/>
      <c r="AO4" s="90"/>
      <c r="AP4" s="90"/>
      <c r="AQ4" s="90"/>
      <c r="AR4" s="88"/>
    </row>
    <row r="5" spans="1:43" s="88" customFormat="1" ht="11.25">
      <c r="A5" s="92" t="s">
        <v>50</v>
      </c>
      <c r="B5" s="93"/>
      <c r="C5" s="93"/>
      <c r="D5" s="90"/>
      <c r="E5" s="90"/>
      <c r="F5" s="90"/>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row>
    <row r="7" spans="1:43" ht="11.25">
      <c r="A7" s="96" t="s">
        <v>56</v>
      </c>
      <c r="B7" s="97"/>
      <c r="C7" s="98"/>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row>
    <row r="8" spans="1:33" s="166" customFormat="1" ht="11.25">
      <c r="A8" s="94" t="s">
        <v>93</v>
      </c>
      <c r="B8" s="86" t="s">
        <v>57</v>
      </c>
      <c r="C8" s="99">
        <f aca="true" t="shared" si="1" ref="C8:C17">SUM(D8:AQ8)</f>
        <v>-5000</v>
      </c>
      <c r="D8" s="164">
        <f>-IF('Input and Output'!$C$33='Input and Output'!$A$217,'Input and Output'!$C$34*'Input and Output'!$C$36/1000,0)</f>
        <v>-5000</v>
      </c>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1:33" s="166" customFormat="1" ht="11.25">
      <c r="A9" s="94" t="s">
        <v>184</v>
      </c>
      <c r="B9" s="86" t="s">
        <v>57</v>
      </c>
      <c r="C9" s="99">
        <f t="shared" si="1"/>
        <v>-132.125</v>
      </c>
      <c r="D9" s="164">
        <f>-'Input and Output'!$C$39*(1+'Input and Output'!$C$29)^Workings!D3/1000</f>
        <v>-132.125</v>
      </c>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1:33" s="166" customFormat="1" ht="11.25">
      <c r="A10" s="94" t="s">
        <v>172</v>
      </c>
      <c r="B10" s="86" t="s">
        <v>57</v>
      </c>
      <c r="C10" s="99">
        <f t="shared" si="1"/>
        <v>-2114</v>
      </c>
      <c r="D10" s="164">
        <f>-'Input and Output'!$C$36*'Input and Output'!$C$40*(1+'Input and Output'!$C$29)^Workings!D3/1000</f>
        <v>-2114</v>
      </c>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row>
    <row r="11" spans="1:33" s="166" customFormat="1" ht="11.25">
      <c r="A11" s="94" t="s">
        <v>171</v>
      </c>
      <c r="B11" s="86" t="s">
        <v>57</v>
      </c>
      <c r="C11" s="99">
        <f t="shared" si="1"/>
        <v>-4228</v>
      </c>
      <c r="D11" s="164">
        <f>-'Input and Output'!$C$36*'Input and Output'!$C$41*(1+'Input and Output'!$C$29)^Workings!D3/1000</f>
        <v>-4228</v>
      </c>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row>
    <row r="12" spans="1:33" s="166" customFormat="1" ht="11.25">
      <c r="A12" s="94" t="s">
        <v>225</v>
      </c>
      <c r="B12" s="86" t="s">
        <v>57</v>
      </c>
      <c r="C12" s="99">
        <f t="shared" si="1"/>
        <v>-317139.6375</v>
      </c>
      <c r="D12" s="164">
        <f>-('Input and Output'!C36*'Input and Output'!C42*(1-'Input and Output'!C51)*'Input and Output'!C52/2*(1+'Input and Output'!$C$29)^Workings!D3)/1000</f>
        <v>-317139.6375</v>
      </c>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row>
    <row r="13" spans="1:33" s="166" customFormat="1" ht="11.25">
      <c r="A13" s="94" t="s">
        <v>226</v>
      </c>
      <c r="B13" s="86" t="s">
        <v>57</v>
      </c>
      <c r="C13" s="99">
        <f>SUM(D13:AQ13)</f>
        <v>-158510.3625</v>
      </c>
      <c r="D13" s="164">
        <f>-('Input and Output'!C36*'Input and Output'!C46*(1-'Input and Output'!C51)*'Input and Output'!C52/2*(1+'Input and Output'!$C$29)^Workings!D3)/1000</f>
        <v>-158510.3625</v>
      </c>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row>
    <row r="14" spans="1:33" s="166" customFormat="1" ht="11.25">
      <c r="A14" s="94" t="s">
        <v>65</v>
      </c>
      <c r="B14" s="86" t="s">
        <v>57</v>
      </c>
      <c r="C14" s="99">
        <f t="shared" si="1"/>
        <v>-36647.247</v>
      </c>
      <c r="D14" s="164">
        <f>-('Input and Output'!$C$64*'Input and Output'!C42*'Input and Output'!$C$36*(1+'Input and Output'!$C$29)^Workings!D3)/1000</f>
        <v>-36647.247</v>
      </c>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row>
    <row r="15" spans="1:33" s="166" customFormat="1" ht="11.25">
      <c r="A15" s="94" t="s">
        <v>66</v>
      </c>
      <c r="B15" s="86" t="s">
        <v>57</v>
      </c>
      <c r="C15" s="99">
        <f t="shared" si="1"/>
        <v>-21839.2055</v>
      </c>
      <c r="D15" s="164">
        <f>-('Input and Output'!$C$65*'Input and Output'!C46*'Input and Output'!$C$36*(1+'Input and Output'!$C$29)^Workings!D3)/1000</f>
        <v>-21839.2055</v>
      </c>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row>
    <row r="16" spans="1:33" s="166" customFormat="1" ht="11.25">
      <c r="A16" s="94" t="s">
        <v>173</v>
      </c>
      <c r="B16" s="86" t="s">
        <v>57</v>
      </c>
      <c r="C16" s="99">
        <f t="shared" si="1"/>
        <v>-158.55</v>
      </c>
      <c r="D16" s="164">
        <f>-IF('Input and Output'!$C$128='Input and Output'!$A$213,('Input and Output'!$C$69*(1+'Input and Output'!$C$29^Workings!D3))/1000,0)</f>
        <v>-158.55</v>
      </c>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row>
    <row r="17" spans="1:33" s="166" customFormat="1" ht="11.25">
      <c r="A17" s="94" t="s">
        <v>174</v>
      </c>
      <c r="B17" s="86" t="s">
        <v>57</v>
      </c>
      <c r="C17" s="99">
        <f t="shared" si="1"/>
        <v>-1109.85</v>
      </c>
      <c r="D17" s="164">
        <f>-IF('Input and Output'!$C$128='Input and Output'!$A$213,'Input and Output'!$C$70*(1+'Input and Output'!$C$29)^Workings!D3/1000,0)</f>
        <v>-1109.85</v>
      </c>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row>
    <row r="18" spans="1:33" s="166" customFormat="1" ht="11.25">
      <c r="A18" s="94"/>
      <c r="B18" s="94"/>
      <c r="C18" s="100"/>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1:38" s="168" customFormat="1" ht="11.25">
      <c r="A19" s="101" t="s">
        <v>61</v>
      </c>
      <c r="B19" s="102" t="s">
        <v>57</v>
      </c>
      <c r="C19" s="103">
        <f>SUM(D19:AQ19)</f>
        <v>-546878.9775</v>
      </c>
      <c r="D19" s="167">
        <f>SUM(D8:D17)</f>
        <v>-546878.9775</v>
      </c>
      <c r="E19" s="167">
        <f>SUM(E8:E17)</f>
        <v>0</v>
      </c>
      <c r="F19" s="167">
        <f aca="true" t="shared" si="2" ref="F19:AL19">SUM(F8:F17)</f>
        <v>0</v>
      </c>
      <c r="G19" s="167">
        <f t="shared" si="2"/>
        <v>0</v>
      </c>
      <c r="H19" s="167">
        <f t="shared" si="2"/>
        <v>0</v>
      </c>
      <c r="I19" s="167">
        <f t="shared" si="2"/>
        <v>0</v>
      </c>
      <c r="J19" s="167">
        <f t="shared" si="2"/>
        <v>0</v>
      </c>
      <c r="K19" s="167">
        <f t="shared" si="2"/>
        <v>0</v>
      </c>
      <c r="L19" s="167">
        <f t="shared" si="2"/>
        <v>0</v>
      </c>
      <c r="M19" s="167">
        <f t="shared" si="2"/>
        <v>0</v>
      </c>
      <c r="N19" s="167">
        <f t="shared" si="2"/>
        <v>0</v>
      </c>
      <c r="O19" s="167">
        <f t="shared" si="2"/>
        <v>0</v>
      </c>
      <c r="P19" s="167">
        <f t="shared" si="2"/>
        <v>0</v>
      </c>
      <c r="Q19" s="167">
        <f t="shared" si="2"/>
        <v>0</v>
      </c>
      <c r="R19" s="167">
        <f t="shared" si="2"/>
        <v>0</v>
      </c>
      <c r="S19" s="167">
        <f t="shared" si="2"/>
        <v>0</v>
      </c>
      <c r="T19" s="167">
        <f t="shared" si="2"/>
        <v>0</v>
      </c>
      <c r="U19" s="167">
        <f t="shared" si="2"/>
        <v>0</v>
      </c>
      <c r="V19" s="167">
        <f t="shared" si="2"/>
        <v>0</v>
      </c>
      <c r="W19" s="167">
        <f t="shared" si="2"/>
        <v>0</v>
      </c>
      <c r="X19" s="167">
        <f t="shared" si="2"/>
        <v>0</v>
      </c>
      <c r="Y19" s="167">
        <f t="shared" si="2"/>
        <v>0</v>
      </c>
      <c r="Z19" s="167">
        <f t="shared" si="2"/>
        <v>0</v>
      </c>
      <c r="AA19" s="167">
        <f t="shared" si="2"/>
        <v>0</v>
      </c>
      <c r="AB19" s="167">
        <f t="shared" si="2"/>
        <v>0</v>
      </c>
      <c r="AC19" s="167">
        <f t="shared" si="2"/>
        <v>0</v>
      </c>
      <c r="AD19" s="167">
        <f t="shared" si="2"/>
        <v>0</v>
      </c>
      <c r="AE19" s="167">
        <f t="shared" si="2"/>
        <v>0</v>
      </c>
      <c r="AF19" s="167">
        <f t="shared" si="2"/>
        <v>0</v>
      </c>
      <c r="AG19" s="167">
        <f t="shared" si="2"/>
        <v>0</v>
      </c>
      <c r="AH19" s="167">
        <f t="shared" si="2"/>
        <v>0</v>
      </c>
      <c r="AI19" s="167">
        <f t="shared" si="2"/>
        <v>0</v>
      </c>
      <c r="AJ19" s="167">
        <f t="shared" si="2"/>
        <v>0</v>
      </c>
      <c r="AK19" s="167">
        <f t="shared" si="2"/>
        <v>0</v>
      </c>
      <c r="AL19" s="167">
        <f t="shared" si="2"/>
        <v>0</v>
      </c>
    </row>
    <row r="20" spans="1:33" s="153" customFormat="1" ht="11.25">
      <c r="A20" s="101"/>
      <c r="B20" s="94"/>
      <c r="C20" s="104"/>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1:43" s="153" customFormat="1" ht="11.25">
      <c r="A21" s="96" t="s">
        <v>42</v>
      </c>
      <c r="B21" s="97"/>
      <c r="C21" s="98"/>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row>
    <row r="22" spans="1:43" s="166" customFormat="1" ht="11.25">
      <c r="A22" s="94" t="s">
        <v>94</v>
      </c>
      <c r="B22" s="86" t="s">
        <v>57</v>
      </c>
      <c r="C22" s="99">
        <f aca="true" t="shared" si="3" ref="C22:C37">SUM(D22:AQ22)</f>
        <v>0</v>
      </c>
      <c r="D22" s="164">
        <f>-IF(D3=0,0,IF('Input and Output'!$C$33='Input and Output'!$A$216,'Input and Output'!$C$35*'Input and Output'!$C$36/1000*(1+'Input and Output'!$C$29)^D3,0))</f>
        <v>0</v>
      </c>
      <c r="E22" s="164">
        <f>-IF(E3=0,0,IF('Input and Output'!$C$33='Input and Output'!$A$216,'Input and Output'!$C$35*'Input and Output'!$C$36/1000*(1+'Input and Output'!$C$29)^E3,0))</f>
        <v>0</v>
      </c>
      <c r="F22" s="164">
        <f>-IF(F3=0,0,IF('Input and Output'!$C$33='Input and Output'!$A$216,'Input and Output'!$C$35*'Input and Output'!$C$36/1000*(1+'Input and Output'!$C$29)^F3,0))</f>
        <v>0</v>
      </c>
      <c r="G22" s="164">
        <f>-IF(G3=0,0,IF('Input and Output'!$C$33='Input and Output'!$A$216,'Input and Output'!$C$35*'Input and Output'!$C$36/1000*(1+'Input and Output'!$C$29)^G3,0))</f>
        <v>0</v>
      </c>
      <c r="H22" s="164">
        <f>-IF(H3=0,0,IF('Input and Output'!$C$33='Input and Output'!$A$216,'Input and Output'!$C$35*'Input and Output'!$C$36/1000*(1+'Input and Output'!$C$29)^H3,0))</f>
        <v>0</v>
      </c>
      <c r="I22" s="164">
        <f>-IF(I3=0,0,IF('Input and Output'!$C$33='Input and Output'!$A$216,'Input and Output'!$C$35*'Input and Output'!$C$36/1000*(1+'Input and Output'!$C$29)^I3,0))</f>
        <v>0</v>
      </c>
      <c r="J22" s="164">
        <f>-IF(J3=0,0,IF('Input and Output'!$C$33='Input and Output'!$A$216,'Input and Output'!$C$35*'Input and Output'!$C$36/1000*(1+'Input and Output'!$C$29)^J3,0))</f>
        <v>0</v>
      </c>
      <c r="K22" s="164">
        <f>-IF(K3=0,0,IF('Input and Output'!$C$33='Input and Output'!$A$216,'Input and Output'!$C$35*'Input and Output'!$C$36/1000*(1+'Input and Output'!$C$29)^K3,0))</f>
        <v>0</v>
      </c>
      <c r="L22" s="164">
        <f>-IF(L3=0,0,IF('Input and Output'!$C$33='Input and Output'!$A$216,'Input and Output'!$C$35*'Input and Output'!$C$36/1000*(1+'Input and Output'!$C$29)^L3,0))</f>
        <v>0</v>
      </c>
      <c r="M22" s="164">
        <f>-IF(M3=0,0,IF('Input and Output'!$C$33='Input and Output'!$A$216,'Input and Output'!$C$35*'Input and Output'!$C$36/1000*(1+'Input and Output'!$C$29)^M3,0))</f>
        <v>0</v>
      </c>
      <c r="N22" s="164">
        <f>-IF(N3=0,0,IF('Input and Output'!$C$33='Input and Output'!$A$216,'Input and Output'!$C$35*'Input and Output'!$C$36/1000*(1+'Input and Output'!$C$29)^N3,0))</f>
        <v>0</v>
      </c>
      <c r="O22" s="164">
        <f>-IF(O3=0,0,IF('Input and Output'!$C$33='Input and Output'!$A$216,'Input and Output'!$C$35*'Input and Output'!$C$36/1000*(1+'Input and Output'!$C$29)^O3,0))</f>
        <v>0</v>
      </c>
      <c r="P22" s="164">
        <f>-IF(P3=0,0,IF('Input and Output'!$C$33='Input and Output'!$A$216,'Input and Output'!$C$35*'Input and Output'!$C$36/1000*(1+'Input and Output'!$C$29)^P3,0))</f>
        <v>0</v>
      </c>
      <c r="Q22" s="164">
        <f>-IF(Q3=0,0,IF('Input and Output'!$C$33='Input and Output'!$A$216,'Input and Output'!$C$35*'Input and Output'!$C$36/1000*(1+'Input and Output'!$C$29)^Q3,0))</f>
        <v>0</v>
      </c>
      <c r="R22" s="164">
        <f>-IF(R3=0,0,IF('Input and Output'!$C$33='Input and Output'!$A$216,'Input and Output'!$C$35*'Input and Output'!$C$36/1000*(1+'Input and Output'!$C$29)^R3,0))</f>
        <v>0</v>
      </c>
      <c r="S22" s="164">
        <f>-IF(S3=0,0,IF('Input and Output'!$C$33='Input and Output'!$A$216,'Input and Output'!$C$35*'Input and Output'!$C$36/1000*(1+'Input and Output'!$C$29)^S3,0))</f>
        <v>0</v>
      </c>
      <c r="T22" s="164">
        <f>-IF(T3=0,0,IF('Input and Output'!$C$33='Input and Output'!$A$216,'Input and Output'!$C$35*'Input and Output'!$C$36/1000*(1+'Input and Output'!$C$29)^T3,0))</f>
        <v>0</v>
      </c>
      <c r="U22" s="164">
        <f>-IF(U3=0,0,IF('Input and Output'!$C$33='Input and Output'!$A$216,'Input and Output'!$C$35*'Input and Output'!$C$36/1000*(1+'Input and Output'!$C$29)^U3,0))</f>
        <v>0</v>
      </c>
      <c r="V22" s="164">
        <f>-IF(V3=0,0,IF('Input and Output'!$C$33='Input and Output'!$A$216,'Input and Output'!$C$35*'Input and Output'!$C$36/1000*(1+'Input and Output'!$C$29)^V3,0))</f>
        <v>0</v>
      </c>
      <c r="W22" s="164">
        <f>-IF(W3=0,0,IF('Input and Output'!$C$33='Input and Output'!$A$216,'Input and Output'!$C$35*'Input and Output'!$C$36/1000*(1+'Input and Output'!$C$29)^W3,0))</f>
        <v>0</v>
      </c>
      <c r="X22" s="164">
        <f>-IF(X3=0,0,IF('Input and Output'!$C$33='Input and Output'!$A$216,'Input and Output'!$C$35*'Input and Output'!$C$36/1000*(1+'Input and Output'!$C$29)^X3,0))</f>
        <v>0</v>
      </c>
      <c r="Y22" s="164">
        <f>-IF(Y3=0,0,IF('Input and Output'!$C$33='Input and Output'!$A$216,'Input and Output'!$C$35*'Input and Output'!$C$36/1000*(1+'Input and Output'!$C$29)^Y3,0))</f>
        <v>0</v>
      </c>
      <c r="Z22" s="164">
        <f>-IF(Z3=0,0,IF('Input and Output'!$C$33='Input and Output'!$A$216,'Input and Output'!$C$35*'Input and Output'!$C$36/1000*(1+'Input and Output'!$C$29)^Z3,0))</f>
        <v>0</v>
      </c>
      <c r="AA22" s="164">
        <f>-IF(AA3=0,0,IF('Input and Output'!$C$33='Input and Output'!$A$216,'Input and Output'!$C$35*'Input and Output'!$C$36/1000*(1+'Input and Output'!$C$29)^AA3,0))</f>
        <v>0</v>
      </c>
      <c r="AB22" s="164">
        <f>-IF(AB3=0,0,IF('Input and Output'!$C$33='Input and Output'!$A$216,'Input and Output'!$C$35*'Input and Output'!$C$36/1000*(1+'Input and Output'!$C$29)^AB3,0))</f>
        <v>0</v>
      </c>
      <c r="AC22" s="164">
        <f>-IF(AC3=0,0,IF('Input and Output'!$C$33='Input and Output'!$A$216,'Input and Output'!$C$35*'Input and Output'!$C$36/1000*(1+'Input and Output'!$C$29)^AC3,0))</f>
        <v>0</v>
      </c>
      <c r="AD22" s="164">
        <f>-IF(AD3=0,0,IF('Input and Output'!$C$33='Input and Output'!$A$216,'Input and Output'!$C$35*'Input and Output'!$C$36/1000*(1+'Input and Output'!$C$29)^AD3,0))</f>
        <v>0</v>
      </c>
      <c r="AE22" s="164">
        <f>-IF(AE3=0,0,IF('Input and Output'!$C$33='Input and Output'!$A$216,'Input and Output'!$C$35*'Input and Output'!$C$36/1000*(1+'Input and Output'!$C$29)^AE3,0))</f>
        <v>0</v>
      </c>
      <c r="AF22" s="164">
        <f>-IF(AF3=0,0,IF('Input and Output'!$C$33='Input and Output'!$A$216,'Input and Output'!$C$35*'Input and Output'!$C$36/1000*(1+'Input and Output'!$C$29)^AF3,0))</f>
        <v>0</v>
      </c>
      <c r="AG22" s="164">
        <f>-IF(AG3=0,0,IF('Input and Output'!$C$33='Input and Output'!$A$216,'Input and Output'!$C$35*'Input and Output'!$C$36/1000*(1+'Input and Output'!$C$29)^AG3,0))</f>
        <v>0</v>
      </c>
      <c r="AH22" s="164">
        <f>-IF(AH3=0,0,IF('Input and Output'!$C$33='Input and Output'!$A$216,'Input and Output'!$C$35*'Input and Output'!$C$36/1000*(1+'Input and Output'!$C$29)^AH3,0))</f>
        <v>0</v>
      </c>
      <c r="AI22" s="164">
        <f>-IF(AI3=0,0,IF('Input and Output'!$C$33='Input and Output'!$A$216,'Input and Output'!$C$35*'Input and Output'!$C$36/1000*(1+'Input and Output'!$C$29)^AI3,0))</f>
        <v>0</v>
      </c>
      <c r="AJ22" s="164">
        <f>-IF(AJ3=0,0,IF('Input and Output'!$C$33='Input and Output'!$A$216,'Input and Output'!$C$35*'Input and Output'!$C$36/1000*(1+'Input and Output'!$C$29)^AJ3,0))</f>
        <v>0</v>
      </c>
      <c r="AK22" s="164">
        <f>-IF(AK3=0,0,IF('Input and Output'!$C$33='Input and Output'!$A$216,'Input and Output'!$C$35*'Input and Output'!$C$36/1000*(1+'Input and Output'!$C$29)^AK3,0))</f>
        <v>0</v>
      </c>
      <c r="AL22" s="164">
        <f>-IF(AL3=0,0,IF('Input and Output'!$C$33='Input and Output'!$A$216,'Input and Output'!$C$35*'Input and Output'!$C$36/1000*(1+'Input and Output'!$C$29)^AL3,0))</f>
        <v>0</v>
      </c>
      <c r="AM22" s="164"/>
      <c r="AN22" s="164"/>
      <c r="AO22" s="164"/>
      <c r="AP22" s="164"/>
      <c r="AQ22" s="164"/>
    </row>
    <row r="23" spans="1:43" s="153" customFormat="1" ht="11.25">
      <c r="A23" s="94" t="s">
        <v>28</v>
      </c>
      <c r="B23" s="86" t="s">
        <v>57</v>
      </c>
      <c r="C23" s="99">
        <f t="shared" si="3"/>
        <v>-78749.74315107278</v>
      </c>
      <c r="D23" s="164">
        <f>-'Input and Output'!$C$73/1000*(1+'Input and Output'!$C$29)^D3</f>
        <v>-753.1125</v>
      </c>
      <c r="E23" s="164">
        <f>-'Input and Output'!$C$73/1000*(1+'Input and Output'!$C$29)^E3</f>
        <v>-796.0399124999999</v>
      </c>
      <c r="F23" s="164">
        <f>-'Input and Output'!$C$73/1000*(1+'Input and Output'!$C$29)^F3</f>
        <v>-841.4141875124999</v>
      </c>
      <c r="G23" s="164">
        <f>-'Input and Output'!$C$73/1000*(1+'Input and Output'!$C$29)^G3</f>
        <v>-889.3747962007125</v>
      </c>
      <c r="H23" s="164">
        <f>-'Input and Output'!$C$73/1000*(1+'Input and Output'!$C$29)^H3</f>
        <v>-940.0691595841531</v>
      </c>
      <c r="I23" s="164">
        <f>-'Input and Output'!$C$73/1000*(1+'Input and Output'!$C$29)^I3</f>
        <v>-993.6531016804498</v>
      </c>
      <c r="J23" s="164">
        <f>-'Input and Output'!$C$73/1000*(1+'Input and Output'!$C$29)^J3</f>
        <v>-1050.2913284762353</v>
      </c>
      <c r="K23" s="164">
        <f>-'Input and Output'!$C$73/1000*(1+'Input and Output'!$C$29)^K3</f>
        <v>-1110.1579341993809</v>
      </c>
      <c r="L23" s="164">
        <f>-'Input and Output'!$C$73/1000*(1+'Input and Output'!$C$29)^L3</f>
        <v>-1173.4369364487454</v>
      </c>
      <c r="M23" s="164">
        <f>-'Input and Output'!$C$73/1000*(1+'Input and Output'!$C$29)^M3</f>
        <v>-1240.322841826324</v>
      </c>
      <c r="N23" s="164">
        <f>-'Input and Output'!$C$73/1000*(1+'Input and Output'!$C$29)^N3</f>
        <v>-1311.0212438104243</v>
      </c>
      <c r="O23" s="164">
        <f>-'Input and Output'!$C$73/1000*(1+'Input and Output'!$C$29)^O3</f>
        <v>-1385.7494547076187</v>
      </c>
      <c r="P23" s="164">
        <f>-'Input and Output'!$C$73/1000*(1+'Input and Output'!$C$29)^P3</f>
        <v>-1464.737173625953</v>
      </c>
      <c r="Q23" s="164">
        <f>-'Input and Output'!$C$73/1000*(1+'Input and Output'!$C$29)^Q3</f>
        <v>-1548.227192522632</v>
      </c>
      <c r="R23" s="164">
        <f>-'Input and Output'!$C$73/1000*(1+'Input and Output'!$C$29)^R3</f>
        <v>-1636.476142496422</v>
      </c>
      <c r="S23" s="164">
        <f>-'Input and Output'!$C$73/1000*(1+'Input and Output'!$C$29)^S3</f>
        <v>-1729.7552826187184</v>
      </c>
      <c r="T23" s="164">
        <f>-'Input and Output'!$C$73/1000*(1+'Input and Output'!$C$29)^T3</f>
        <v>-1828.3513337279853</v>
      </c>
      <c r="U23" s="164">
        <f>-'Input and Output'!$C$73/1000*(1+'Input and Output'!$C$29)^U3</f>
        <v>-1932.5673597504804</v>
      </c>
      <c r="V23" s="164">
        <f>-'Input and Output'!$C$73/1000*(1+'Input and Output'!$C$29)^V3</f>
        <v>-2042.7236992562578</v>
      </c>
      <c r="W23" s="164">
        <f>-'Input and Output'!$C$73/1000*(1+'Input and Output'!$C$29)^W3</f>
        <v>-2159.1589501138646</v>
      </c>
      <c r="X23" s="164">
        <f>-'Input and Output'!$C$73/1000*(1+'Input and Output'!$C$29)^X3</f>
        <v>-2282.2310102703545</v>
      </c>
      <c r="Y23" s="164">
        <f>-'Input and Output'!$C$73/1000*(1+'Input and Output'!$C$29)^Y3</f>
        <v>-2412.318177855765</v>
      </c>
      <c r="Z23" s="164">
        <f>-'Input and Output'!$C$73/1000*(1+'Input and Output'!$C$29)^Z3</f>
        <v>-2549.8203139935436</v>
      </c>
      <c r="AA23" s="164">
        <f>-'Input and Output'!$C$73/1000*(1+'Input and Output'!$C$29)^AA3</f>
        <v>-2695.160071891176</v>
      </c>
      <c r="AB23" s="164">
        <f>-'Input and Output'!$C$73/1000*(1+'Input and Output'!$C$29)^AB3</f>
        <v>-2848.7841959889724</v>
      </c>
      <c r="AC23" s="164">
        <f>-'Input and Output'!$C$73/1000*(1+'Input and Output'!$C$29)^AC3</f>
        <v>-3011.164895160344</v>
      </c>
      <c r="AD23" s="164">
        <f>-'Input and Output'!$C$73/1000*(1+'Input and Output'!$C$29)^AD3</f>
        <v>-3182.8012941844836</v>
      </c>
      <c r="AE23" s="164">
        <f>-'Input and Output'!$C$73/1000*(1+'Input and Output'!$C$29)^AE3</f>
        <v>-3364.2209679529988</v>
      </c>
      <c r="AF23" s="164">
        <f>-'Input and Output'!$C$73/1000*(1+'Input and Output'!$C$29)^AF3</f>
        <v>-3555.98156312632</v>
      </c>
      <c r="AG23" s="164">
        <f>-'Input and Output'!$C$73/1000*(1+'Input and Output'!$C$29)^AG3</f>
        <v>-3758.6725122245202</v>
      </c>
      <c r="AH23" s="164">
        <f>-'Input and Output'!$C$73/1000*(1+'Input and Output'!$C$29)^AH3</f>
        <v>-3972.916845421317</v>
      </c>
      <c r="AI23" s="164">
        <f>-'Input and Output'!$C$73/1000*(1+'Input and Output'!$C$29)^AI3</f>
        <v>-4199.373105610333</v>
      </c>
      <c r="AJ23" s="164">
        <f>-'Input and Output'!$C$73/1000*(1+'Input and Output'!$C$29)^AJ3</f>
        <v>-4438.737372630122</v>
      </c>
      <c r="AK23" s="164">
        <f>-'Input and Output'!$C$73/1000*(1+'Input and Output'!$C$29)^AK3</f>
        <v>-4691.745402870039</v>
      </c>
      <c r="AL23" s="164">
        <f>-'Input and Output'!$C$73/1000*(1+'Input and Output'!$C$29)^AL3</f>
        <v>-4959.17489083363</v>
      </c>
      <c r="AM23" s="164"/>
      <c r="AN23" s="164"/>
      <c r="AO23" s="164"/>
      <c r="AP23" s="164"/>
      <c r="AQ23" s="164"/>
    </row>
    <row r="24" spans="1:43" s="153" customFormat="1" ht="11.25">
      <c r="A24" s="94" t="s">
        <v>171</v>
      </c>
      <c r="B24" s="86" t="s">
        <v>57</v>
      </c>
      <c r="C24" s="99">
        <f t="shared" si="3"/>
        <v>-547344.7764987564</v>
      </c>
      <c r="D24" s="164">
        <v>0</v>
      </c>
      <c r="E24" s="164">
        <f>-'Input and Output'!$C$36*'Input and Output'!$C$74*(1+'Input and Output'!$C$29)^Workings!E3/1000</f>
        <v>-5586.245</v>
      </c>
      <c r="F24" s="164">
        <f>-'Input and Output'!$C$36*'Input and Output'!$C$74*(1+'Input and Output'!$C$29)^Workings!F3/1000</f>
        <v>-5904.660964999999</v>
      </c>
      <c r="G24" s="164">
        <f>-'Input and Output'!$C$36*'Input and Output'!$C$74*(1+'Input and Output'!$C$29)^Workings!G3/1000</f>
        <v>-6241.226640005</v>
      </c>
      <c r="H24" s="164">
        <f>-'Input and Output'!$C$36*'Input and Output'!$C$74*(1+'Input and Output'!$C$29)^Workings!H3/1000</f>
        <v>-6596.976558485285</v>
      </c>
      <c r="I24" s="164">
        <f>-'Input and Output'!$C$36*'Input and Output'!$C$74*(1+'Input and Output'!$C$29)^Workings!I3/1000</f>
        <v>-6973.004222318946</v>
      </c>
      <c r="J24" s="164">
        <f>-'Input and Output'!$C$36*'Input and Output'!$C$74*(1+'Input and Output'!$C$29)^Workings!J3/1000</f>
        <v>-7370.465462991125</v>
      </c>
      <c r="K24" s="164">
        <f>-'Input and Output'!$C$36*'Input and Output'!$C$74*(1+'Input and Output'!$C$29)^Workings!K3/1000</f>
        <v>-7790.5819943816205</v>
      </c>
      <c r="L24" s="164">
        <f>-'Input and Output'!$C$36*'Input and Output'!$C$74*(1+'Input and Output'!$C$29)^Workings!L3/1000</f>
        <v>-8234.645168061372</v>
      </c>
      <c r="M24" s="164">
        <f>-'Input and Output'!$C$36*'Input and Output'!$C$74*(1+'Input and Output'!$C$29)^Workings!M3/1000</f>
        <v>-8704.01994264087</v>
      </c>
      <c r="N24" s="164">
        <f>-'Input and Output'!$C$36*'Input and Output'!$C$74*(1+'Input and Output'!$C$29)^Workings!N3/1000</f>
        <v>-9200.149079371398</v>
      </c>
      <c r="O24" s="164">
        <f>-'Input and Output'!$C$36*'Input and Output'!$C$74*(1+'Input and Output'!$C$29)^Workings!O3/1000</f>
        <v>-9724.557576895568</v>
      </c>
      <c r="P24" s="164">
        <f>-'Input and Output'!$C$36*'Input and Output'!$C$74*(1+'Input and Output'!$C$29)^Workings!P3/1000</f>
        <v>-10278.857358778616</v>
      </c>
      <c r="Q24" s="164">
        <f>-'Input and Output'!$C$36*'Input and Output'!$C$74*(1+'Input and Output'!$C$29)^Workings!Q3/1000</f>
        <v>-10864.752228228997</v>
      </c>
      <c r="R24" s="164">
        <f>-'Input and Output'!$C$36*'Input and Output'!$C$74*(1+'Input and Output'!$C$29)^Workings!R3/1000</f>
        <v>-11484.043105238048</v>
      </c>
      <c r="S24" s="164">
        <f>-'Input and Output'!$C$36*'Input and Output'!$C$74*(1+'Input and Output'!$C$29)^Workings!S3/1000</f>
        <v>-12138.63356223662</v>
      </c>
      <c r="T24" s="164">
        <f>-'Input and Output'!$C$36*'Input and Output'!$C$74*(1+'Input and Output'!$C$29)^Workings!T3/1000</f>
        <v>-12830.535675284107</v>
      </c>
      <c r="U24" s="164">
        <f>-'Input and Output'!$C$36*'Input and Output'!$C$74*(1+'Input and Output'!$C$29)^Workings!U3/1000</f>
        <v>-13561.8762087753</v>
      </c>
      <c r="V24" s="164">
        <f>-'Input and Output'!$C$36*'Input and Output'!$C$74*(1+'Input and Output'!$C$29)^Workings!V3/1000</f>
        <v>-14334.903152675493</v>
      </c>
      <c r="W24" s="164">
        <f>-'Input and Output'!$C$36*'Input and Output'!$C$74*(1+'Input and Output'!$C$29)^Workings!W3/1000</f>
        <v>-15151.992632377996</v>
      </c>
      <c r="X24" s="164">
        <f>-'Input and Output'!$C$36*'Input and Output'!$C$74*(1+'Input and Output'!$C$29)^Workings!X3/1000</f>
        <v>-16015.65621242354</v>
      </c>
      <c r="Y24" s="164">
        <f>-'Input and Output'!$C$36*'Input and Output'!$C$74*(1+'Input and Output'!$C$29)^Workings!Y3/1000</f>
        <v>-16928.548616531683</v>
      </c>
      <c r="Z24" s="164">
        <f>-'Input and Output'!$C$36*'Input and Output'!$C$74*(1+'Input and Output'!$C$29)^Workings!Z3/1000</f>
        <v>-17893.47588767399</v>
      </c>
      <c r="AA24" s="164">
        <f>-'Input and Output'!$C$36*'Input and Output'!$C$74*(1+'Input and Output'!$C$29)^Workings!AA3/1000</f>
        <v>-18913.40401327141</v>
      </c>
      <c r="AB24" s="164">
        <f>-'Input and Output'!$C$36*'Input and Output'!$C$74*(1+'Input and Output'!$C$29)^Workings!AB3/1000</f>
        <v>-19991.46804202788</v>
      </c>
      <c r="AC24" s="164">
        <f>-'Input and Output'!$C$36*'Input and Output'!$C$74*(1+'Input and Output'!$C$29)^Workings!AC3/1000</f>
        <v>-21130.981720423464</v>
      </c>
      <c r="AD24" s="164">
        <f>-'Input and Output'!$C$36*'Input and Output'!$C$74*(1+'Input and Output'!$C$29)^Workings!AD3/1000</f>
        <v>-22335.447678487602</v>
      </c>
      <c r="AE24" s="164">
        <f>-'Input and Output'!$C$36*'Input and Output'!$C$74*(1+'Input and Output'!$C$29)^Workings!AE3/1000</f>
        <v>-23608.568196161392</v>
      </c>
      <c r="AF24" s="164">
        <f>-'Input and Output'!$C$36*'Input and Output'!$C$74*(1+'Input and Output'!$C$29)^Workings!AF3/1000</f>
        <v>-24954.256583342598</v>
      </c>
      <c r="AG24" s="164">
        <f>-'Input and Output'!$C$36*'Input and Output'!$C$74*(1+'Input and Output'!$C$29)^Workings!AG3/1000</f>
        <v>-26376.649208593124</v>
      </c>
      <c r="AH24" s="164">
        <f>-'Input and Output'!$C$36*'Input and Output'!$C$74*(1+'Input and Output'!$C$29)^Workings!AH3/1000</f>
        <v>-27880.118213482925</v>
      </c>
      <c r="AI24" s="164">
        <f>-'Input and Output'!$C$36*'Input and Output'!$C$74*(1+'Input and Output'!$C$29)^Workings!AI3/1000</f>
        <v>-29469.28495165146</v>
      </c>
      <c r="AJ24" s="164">
        <f>-'Input and Output'!$C$36*'Input and Output'!$C$74*(1+'Input and Output'!$C$29)^Workings!AJ3/1000</f>
        <v>-31149.03419389559</v>
      </c>
      <c r="AK24" s="164">
        <f>-'Input and Output'!$C$36*'Input and Output'!$C$74*(1+'Input and Output'!$C$29)^Workings!AK3/1000</f>
        <v>-32924.529142947635</v>
      </c>
      <c r="AL24" s="164">
        <f>-'Input and Output'!$C$36*'Input and Output'!$C$74*(1+'Input and Output'!$C$29)^Workings!AL3/1000</f>
        <v>-34801.22730409566</v>
      </c>
      <c r="AM24" s="164"/>
      <c r="AN24" s="164"/>
      <c r="AO24" s="164"/>
      <c r="AP24" s="164"/>
      <c r="AQ24" s="164"/>
    </row>
    <row r="25" spans="1:43" s="153" customFormat="1" ht="11.25">
      <c r="A25" s="94" t="s">
        <v>356</v>
      </c>
      <c r="B25" s="86" t="s">
        <v>57</v>
      </c>
      <c r="C25" s="99">
        <f t="shared" si="3"/>
        <v>-92926.32168636395</v>
      </c>
      <c r="D25" s="164">
        <v>0</v>
      </c>
      <c r="E25" s="164">
        <f>-'Input and Output'!$C$75*'Input and Output'!$C$36*(1+'Input and Output'!$C$29)^Workings!E3/1000</f>
        <v>-11172.49</v>
      </c>
      <c r="F25" s="164">
        <f>-'Input and Output'!$C$75*'Input and Output'!$C$36*(1+'Input and Output'!$C$29)^Workings!F3/1000</f>
        <v>-11809.321929999998</v>
      </c>
      <c r="G25" s="164">
        <f>-'Input and Output'!$C$75*'Input and Output'!$C$36*(1+'Input and Output'!$C$29)^Workings!G3/1000</f>
        <v>-12482.45328001</v>
      </c>
      <c r="H25" s="164">
        <f>-'Input and Output'!$C$75*'Input and Output'!$C$36*(1+'Input and Output'!$C$29)^Workings!H3/1000</f>
        <v>-13193.95311697057</v>
      </c>
      <c r="I25" s="164">
        <f>-'Input and Output'!$C$75*'Input and Output'!$C$36*(1+'Input and Output'!$C$29)^Workings!I3/1000</f>
        <v>-13946.008444637891</v>
      </c>
      <c r="J25" s="164">
        <f>-'Input and Output'!$C$75*'Input and Output'!$C$36*(1+'Input and Output'!$C$29)^Workings!J3/1000</f>
        <v>-14740.93092598225</v>
      </c>
      <c r="K25" s="164">
        <f>-'Input and Output'!$C$75*'Input and Output'!$C$36*(1+'Input and Output'!$C$29)^Workings!K3/1000</f>
        <v>-15581.163988763241</v>
      </c>
      <c r="L25" s="164">
        <v>0</v>
      </c>
      <c r="M25" s="164">
        <v>0</v>
      </c>
      <c r="N25" s="164">
        <v>0</v>
      </c>
      <c r="O25" s="164">
        <v>0</v>
      </c>
      <c r="P25" s="164">
        <v>0</v>
      </c>
      <c r="Q25" s="164">
        <v>0</v>
      </c>
      <c r="R25" s="164">
        <v>0</v>
      </c>
      <c r="S25" s="164">
        <v>0</v>
      </c>
      <c r="T25" s="164">
        <v>0</v>
      </c>
      <c r="U25" s="164">
        <v>0</v>
      </c>
      <c r="V25" s="164">
        <v>0</v>
      </c>
      <c r="W25" s="164">
        <v>0</v>
      </c>
      <c r="X25" s="164">
        <v>0</v>
      </c>
      <c r="Y25" s="164">
        <v>0</v>
      </c>
      <c r="Z25" s="164">
        <v>0</v>
      </c>
      <c r="AA25" s="164">
        <v>0</v>
      </c>
      <c r="AB25" s="164">
        <v>0</v>
      </c>
      <c r="AC25" s="164">
        <v>0</v>
      </c>
      <c r="AD25" s="164">
        <v>0</v>
      </c>
      <c r="AE25" s="164">
        <v>0</v>
      </c>
      <c r="AF25" s="164">
        <v>0</v>
      </c>
      <c r="AG25" s="164">
        <v>0</v>
      </c>
      <c r="AH25" s="164">
        <v>0</v>
      </c>
      <c r="AI25" s="164">
        <v>0</v>
      </c>
      <c r="AJ25" s="164">
        <v>0</v>
      </c>
      <c r="AK25" s="164">
        <v>0</v>
      </c>
      <c r="AL25" s="164">
        <v>0</v>
      </c>
      <c r="AM25" s="164"/>
      <c r="AN25" s="164"/>
      <c r="AO25" s="164"/>
      <c r="AP25" s="164"/>
      <c r="AQ25" s="164"/>
    </row>
    <row r="26" spans="1:43" s="153" customFormat="1" ht="11.25">
      <c r="A26" s="94" t="s">
        <v>360</v>
      </c>
      <c r="B26" s="86" t="s">
        <v>57</v>
      </c>
      <c r="C26" s="99">
        <f t="shared" si="3"/>
        <v>-500881.61565557437</v>
      </c>
      <c r="D26" s="164">
        <v>0</v>
      </c>
      <c r="E26" s="164">
        <v>0</v>
      </c>
      <c r="F26" s="164">
        <v>0</v>
      </c>
      <c r="G26" s="164">
        <v>0</v>
      </c>
      <c r="H26" s="164">
        <v>0</v>
      </c>
      <c r="I26" s="164">
        <v>0</v>
      </c>
      <c r="J26" s="164">
        <v>0</v>
      </c>
      <c r="K26" s="164">
        <v>0</v>
      </c>
      <c r="L26" s="164">
        <f>-'Input and Output'!$C$76*'Input and Output'!$C$36*(1+'Input and Output'!$C$29)^Workings!L3/1000</f>
        <v>-8234.645168061372</v>
      </c>
      <c r="M26" s="164">
        <f>-'Input and Output'!$C$76*'Input and Output'!$C$36*(1+'Input and Output'!$C$29)^Workings!M3/1000</f>
        <v>-8704.01994264087</v>
      </c>
      <c r="N26" s="164">
        <f>-'Input and Output'!$C$76*'Input and Output'!$C$36*(1+'Input and Output'!$C$29)^Workings!N3/1000</f>
        <v>-9200.149079371398</v>
      </c>
      <c r="O26" s="164">
        <f>-'Input and Output'!$C$76*'Input and Output'!$C$36*(1+'Input and Output'!$C$29)^Workings!O3/1000</f>
        <v>-9724.557576895568</v>
      </c>
      <c r="P26" s="164">
        <f>-'Input and Output'!$C$76*'Input and Output'!$C$36*(1+'Input and Output'!$C$29)^Workings!P3/1000</f>
        <v>-10278.857358778616</v>
      </c>
      <c r="Q26" s="164">
        <f>-'Input and Output'!$C$76*'Input and Output'!$C$36*(1+'Input and Output'!$C$29)^Workings!Q3/1000</f>
        <v>-10864.752228228997</v>
      </c>
      <c r="R26" s="164">
        <f>-'Input and Output'!$C$76*'Input and Output'!$C$36*(1+'Input and Output'!$C$29)^Workings!R3/1000</f>
        <v>-11484.043105238048</v>
      </c>
      <c r="S26" s="164">
        <f>-'Input and Output'!$C$76*'Input and Output'!$C$36*(1+'Input and Output'!$C$29)^Workings!S3/1000</f>
        <v>-12138.63356223662</v>
      </c>
      <c r="T26" s="164">
        <f>-'Input and Output'!$C$76*'Input and Output'!$C$36*(1+'Input and Output'!$C$29)^Workings!T3/1000</f>
        <v>-12830.535675284107</v>
      </c>
      <c r="U26" s="164">
        <f>-'Input and Output'!$C$76*'Input and Output'!$C$36*(1+'Input and Output'!$C$29)^Workings!U3/1000</f>
        <v>-13561.8762087753</v>
      </c>
      <c r="V26" s="164">
        <f>-'Input and Output'!$C$76*'Input and Output'!$C$36*(1+'Input and Output'!$C$29)^Workings!V3/1000</f>
        <v>-14334.903152675493</v>
      </c>
      <c r="W26" s="164">
        <f>-'Input and Output'!$C$76*'Input and Output'!$C$36*(1+'Input and Output'!$C$29)^Workings!W3/1000</f>
        <v>-15151.992632377996</v>
      </c>
      <c r="X26" s="164">
        <f>-'Input and Output'!$C$76*'Input and Output'!$C$36*(1+'Input and Output'!$C$29)^Workings!X3/1000</f>
        <v>-16015.65621242354</v>
      </c>
      <c r="Y26" s="164">
        <f>-'Input and Output'!$C$76*'Input and Output'!$C$36*(1+'Input and Output'!$C$29)^Workings!Y3/1000</f>
        <v>-16928.548616531683</v>
      </c>
      <c r="Z26" s="164">
        <f>-'Input and Output'!$C$76*'Input and Output'!$C$36*(1+'Input and Output'!$C$29)^Workings!Z3/1000</f>
        <v>-17893.47588767399</v>
      </c>
      <c r="AA26" s="164">
        <f>-'Input and Output'!$C$76*'Input and Output'!$C$36*(1+'Input and Output'!$C$29)^Workings!AA3/1000</f>
        <v>-18913.40401327141</v>
      </c>
      <c r="AB26" s="164">
        <f>-'Input and Output'!$C$76*'Input and Output'!$C$36*(1+'Input and Output'!$C$29)^Workings!AB3/1000</f>
        <v>-19991.46804202788</v>
      </c>
      <c r="AC26" s="164">
        <f>-'Input and Output'!$C$76*'Input and Output'!$C$36*(1+'Input and Output'!$C$29)^Workings!AC3/1000</f>
        <v>-21130.981720423464</v>
      </c>
      <c r="AD26" s="164">
        <f>-'Input and Output'!$C$76*'Input and Output'!$C$36*(1+'Input and Output'!$C$29)^Workings!AD3/1000</f>
        <v>-22335.447678487602</v>
      </c>
      <c r="AE26" s="164">
        <f>-'Input and Output'!$C$76*'Input and Output'!$C$36*(1+'Input and Output'!$C$29)^Workings!AE3/1000</f>
        <v>-23608.568196161392</v>
      </c>
      <c r="AF26" s="164">
        <f>-'Input and Output'!$C$76*'Input and Output'!$C$36*(1+'Input and Output'!$C$29)^Workings!AF3/1000</f>
        <v>-24954.256583342598</v>
      </c>
      <c r="AG26" s="164">
        <f>-'Input and Output'!$C$76*'Input and Output'!$C$36*(1+'Input and Output'!$C$29)^Workings!AG3/1000</f>
        <v>-26376.649208593124</v>
      </c>
      <c r="AH26" s="164">
        <f>-'Input and Output'!$C$76*'Input and Output'!$C$36*(1+'Input and Output'!$C$29)^Workings!AH3/1000</f>
        <v>-27880.118213482925</v>
      </c>
      <c r="AI26" s="164">
        <f>-'Input and Output'!$C$76*'Input and Output'!$C$36*(1+'Input and Output'!$C$29)^Workings!AI3/1000</f>
        <v>-29469.28495165146</v>
      </c>
      <c r="AJ26" s="164">
        <f>-'Input and Output'!$C$76*'Input and Output'!$C$36*(1+'Input and Output'!$C$29)^Workings!AJ3/1000</f>
        <v>-31149.03419389559</v>
      </c>
      <c r="AK26" s="164">
        <f>-'Input and Output'!$C$76*'Input and Output'!$C$36*(1+'Input and Output'!$C$29)^Workings!AK3/1000</f>
        <v>-32924.529142947635</v>
      </c>
      <c r="AL26" s="164">
        <f>-'Input and Output'!$C$76*'Input and Output'!$C$36*(1+'Input and Output'!$C$29)^Workings!AL3/1000</f>
        <v>-34801.22730409566</v>
      </c>
      <c r="AM26" s="164"/>
      <c r="AN26" s="164"/>
      <c r="AO26" s="164"/>
      <c r="AP26" s="164"/>
      <c r="AQ26" s="164"/>
    </row>
    <row r="27" spans="1:43" s="153" customFormat="1" ht="11.25">
      <c r="A27" s="94" t="s">
        <v>113</v>
      </c>
      <c r="B27" s="86" t="s">
        <v>57</v>
      </c>
      <c r="C27" s="99">
        <f t="shared" si="3"/>
        <v>-5772.453166666667</v>
      </c>
      <c r="D27" s="164">
        <f>-IF(D3='Input and Output'!$C$23,'Input and Output'!$C$55*'Input and Output'!$C$84*(1+'Input and Output'!$C$29)^D3/1000,0)</f>
        <v>0</v>
      </c>
      <c r="E27" s="164">
        <f>-IF(E3='Input and Output'!$C$23,'Input and Output'!$C$55*'Input and Output'!$C$84*(1+'Input and Output'!$C$29)^E3/1000,0)</f>
        <v>-5772.453166666667</v>
      </c>
      <c r="F27" s="164">
        <f>-IF(F3='Input and Output'!$C$23,'Input and Output'!$C$55*'Input and Output'!$C$84*(1+'Input and Output'!$C$29)^F3/1000,0)</f>
        <v>0</v>
      </c>
      <c r="G27" s="164">
        <f>-IF(G3='Input and Output'!$C$23,'Input and Output'!$C$55*'Input and Output'!$C$84*(1+'Input and Output'!$C$29)^G3/1000,0)</f>
        <v>0</v>
      </c>
      <c r="H27" s="164">
        <f>-IF(H3='Input and Output'!$C$23,'Input and Output'!$C$55*'Input and Output'!$C$84*(1+'Input and Output'!$C$29)^H3/1000,0)</f>
        <v>0</v>
      </c>
      <c r="I27" s="164">
        <f>-IF(I3='Input and Output'!$C$23,'Input and Output'!$C$55*'Input and Output'!$C$84*(1+'Input and Output'!$C$29)^I3/1000,0)</f>
        <v>0</v>
      </c>
      <c r="J27" s="164">
        <f>-IF(J3='Input and Output'!$C$23,'Input and Output'!$C$55*'Input and Output'!$C$84*(1+'Input and Output'!$C$29)^J3/1000,0)</f>
        <v>0</v>
      </c>
      <c r="K27" s="164">
        <f>-IF(K3='Input and Output'!$C$23,'Input and Output'!$C$55*'Input and Output'!$C$84*(1+'Input and Output'!$C$29)^K3/1000,0)</f>
        <v>0</v>
      </c>
      <c r="L27" s="164">
        <f>-IF(L3='Input and Output'!$C$23,'Input and Output'!$C$55*'Input and Output'!$C$84*(1+'Input and Output'!$C$29)^L3/1000,0)</f>
        <v>0</v>
      </c>
      <c r="M27" s="164">
        <f>-IF(M3='Input and Output'!$C$23,'Input and Output'!$C$55*'Input and Output'!$C$84*(1+'Input and Output'!$C$29)^M3/1000,0)</f>
        <v>0</v>
      </c>
      <c r="N27" s="164">
        <f>-IF(N3='Input and Output'!$C$23,'Input and Output'!$C$55*'Input and Output'!$C$84*(1+'Input and Output'!$C$29)^N3/1000,0)</f>
        <v>0</v>
      </c>
      <c r="O27" s="164">
        <f>-IF(O3='Input and Output'!$C$23,'Input and Output'!$C$55*'Input and Output'!$C$84*(1+'Input and Output'!$C$29)^O3/1000,0)</f>
        <v>0</v>
      </c>
      <c r="P27" s="164">
        <f>-IF(P3='Input and Output'!$C$23,'Input and Output'!$C$55*'Input and Output'!$C$84*(1+'Input and Output'!$C$29)^P3/1000,0)</f>
        <v>0</v>
      </c>
      <c r="Q27" s="164">
        <f>-IF(Q3='Input and Output'!$C$23,'Input and Output'!$C$55*'Input and Output'!$C$84*(1+'Input and Output'!$C$29)^Q3/1000,0)</f>
        <v>0</v>
      </c>
      <c r="R27" s="164">
        <f>-IF(R3='Input and Output'!$C$23,'Input and Output'!$C$55*'Input and Output'!$C$84*(1+'Input and Output'!$C$29)^R3/1000,0)</f>
        <v>0</v>
      </c>
      <c r="S27" s="164">
        <f>-IF(S3='Input and Output'!$C$23,'Input and Output'!$C$55*'Input and Output'!$C$84*(1+'Input and Output'!$C$29)^S3/1000,0)</f>
        <v>0</v>
      </c>
      <c r="T27" s="164">
        <f>-IF(T3='Input and Output'!$C$23,'Input and Output'!$C$55*'Input and Output'!$C$84*(1+'Input and Output'!$C$29)^T3/1000,0)</f>
        <v>0</v>
      </c>
      <c r="U27" s="164">
        <f>-IF(U3='Input and Output'!$C$23,'Input and Output'!$C$55*'Input and Output'!$C$84*(1+'Input and Output'!$C$29)^U3/1000,0)</f>
        <v>0</v>
      </c>
      <c r="V27" s="164">
        <f>-IF(V3='Input and Output'!$C$23,'Input and Output'!$C$55*'Input and Output'!$C$84*(1+'Input and Output'!$C$29)^V3/1000,0)</f>
        <v>0</v>
      </c>
      <c r="W27" s="164">
        <f>-IF(W3='Input and Output'!$C$23,'Input and Output'!$C$55*'Input and Output'!$C$84*(1+'Input and Output'!$C$29)^W3/1000,0)</f>
        <v>0</v>
      </c>
      <c r="X27" s="164">
        <f>-IF(X3='Input and Output'!$C$23,'Input and Output'!$C$55*'Input and Output'!$C$84*(1+'Input and Output'!$C$29)^X3/1000,0)</f>
        <v>0</v>
      </c>
      <c r="Y27" s="164">
        <f>-IF(Y3='Input and Output'!$C$23,'Input and Output'!$C$55*'Input and Output'!$C$84*(1+'Input and Output'!$C$29)^Y3/1000,0)</f>
        <v>0</v>
      </c>
      <c r="Z27" s="164">
        <f>-IF(Z3='Input and Output'!$C$23,'Input and Output'!$C$55*'Input and Output'!$C$84*(1+'Input and Output'!$C$29)^Z3/1000,0)</f>
        <v>0</v>
      </c>
      <c r="AA27" s="164">
        <f>-IF(AA3='Input and Output'!$C$23,'Input and Output'!$C$55*'Input and Output'!$C$84*(1+'Input and Output'!$C$29)^AA3/1000,0)</f>
        <v>0</v>
      </c>
      <c r="AB27" s="164">
        <f>-IF(AB3='Input and Output'!$C$23,'Input and Output'!$C$55*'Input and Output'!$C$84*(1+'Input and Output'!$C$29)^AB3/1000,0)</f>
        <v>0</v>
      </c>
      <c r="AC27" s="164">
        <f>-IF(AC3='Input and Output'!$C$23,'Input and Output'!$C$55*'Input and Output'!$C$84*(1+'Input and Output'!$C$29)^AC3/1000,0)</f>
        <v>0</v>
      </c>
      <c r="AD27" s="164">
        <f>-IF(AD3='Input and Output'!$C$23,'Input and Output'!$C$55*'Input and Output'!$C$84*(1+'Input and Output'!$C$29)^AD3/1000,0)</f>
        <v>0</v>
      </c>
      <c r="AE27" s="164">
        <f>-IF(AE3='Input and Output'!$C$23,'Input and Output'!$C$55*'Input and Output'!$C$84*(1+'Input and Output'!$C$29)^AE3/1000,0)</f>
        <v>0</v>
      </c>
      <c r="AF27" s="164">
        <f>-IF(AF3='Input and Output'!$C$23,'Input and Output'!$C$55*'Input and Output'!$C$84*(1+'Input and Output'!$C$29)^AF3/1000,0)</f>
        <v>0</v>
      </c>
      <c r="AG27" s="164">
        <f>-IF(AG3='Input and Output'!$C$23,'Input and Output'!$C$55*'Input and Output'!$C$84*(1+'Input and Output'!$C$29)^AG3/1000,0)</f>
        <v>0</v>
      </c>
      <c r="AH27" s="164">
        <f>-IF(AH3='Input and Output'!$C$23,'Input and Output'!$C$55*'Input and Output'!$C$84*(1+'Input and Output'!$C$29)^AH3/1000,0)</f>
        <v>0</v>
      </c>
      <c r="AI27" s="164">
        <f>-IF(AI3='Input and Output'!$C$23,'Input and Output'!$C$55*'Input and Output'!$C$84*(1+'Input and Output'!$C$29)^AI3/1000,0)</f>
        <v>0</v>
      </c>
      <c r="AJ27" s="164">
        <f>-IF(AJ3='Input and Output'!$C$23,'Input and Output'!$C$55*'Input and Output'!$C$84*(1+'Input and Output'!$C$29)^AJ3/1000,0)</f>
        <v>0</v>
      </c>
      <c r="AK27" s="164">
        <f>-IF(AK3='Input and Output'!$C$23,'Input and Output'!$C$55*'Input and Output'!$C$84*(1+'Input and Output'!$C$29)^AK3/1000,0)</f>
        <v>0</v>
      </c>
      <c r="AL27" s="164">
        <f>-IF(AL3='Input and Output'!$C$23,'Input and Output'!$C$55*'Input and Output'!$C$84*(1+'Input and Output'!$C$29)^AL3/1000,0)</f>
        <v>0</v>
      </c>
      <c r="AM27" s="164"/>
      <c r="AN27" s="164"/>
      <c r="AO27" s="164"/>
      <c r="AP27" s="164"/>
      <c r="AQ27" s="164"/>
    </row>
    <row r="28" spans="1:43" s="153" customFormat="1" ht="11.25">
      <c r="A28" s="94" t="s">
        <v>88</v>
      </c>
      <c r="B28" s="86" t="s">
        <v>57</v>
      </c>
      <c r="C28" s="99">
        <f t="shared" si="3"/>
        <v>-7833.617948376785</v>
      </c>
      <c r="D28" s="164">
        <f>-IF(D44&gt;0,'Input and Output'!$C$78*'Input and Output'!$C$106*'Input and Output'!$C$36*(1+'Input and Output'!$C$29)^D3/1000,0)</f>
        <v>0</v>
      </c>
      <c r="E28" s="164">
        <f>-IF(E44&gt;0,'Input and Output'!$C$78*'Input and Output'!$C$106*'Input and Output'!$C$36*(1+'Input and Output'!$C$29)^E3/1000,0)</f>
        <v>0</v>
      </c>
      <c r="F28" s="164">
        <f>-IF(F44&gt;0,'Input and Output'!$C$78*'Input and Output'!$C$106*'Input and Output'!$C$36*(1+'Input and Output'!$C$29)^F3/1000,0)</f>
        <v>0</v>
      </c>
      <c r="G28" s="164">
        <f>-IF(G44&gt;0,'Input and Output'!$C$78*'Input and Output'!$C$106*'Input and Output'!$C$36*(1+'Input and Output'!$C$29)^G3/1000,0)</f>
        <v>0</v>
      </c>
      <c r="H28" s="164">
        <f>-IF(H44&gt;0,'Input and Output'!$C$78*'Input and Output'!$C$106*'Input and Output'!$C$36*(1+'Input and Output'!$C$29)^H3/1000,0)</f>
        <v>0</v>
      </c>
      <c r="I28" s="164">
        <f>-IF(I44&gt;0,'Input and Output'!$C$78*'Input and Output'!$C$106*'Input and Output'!$C$36*(1+'Input and Output'!$C$29)^I3/1000,0)</f>
        <v>0</v>
      </c>
      <c r="J28" s="164">
        <f>-IF(J44&gt;0,'Input and Output'!$C$78*'Input and Output'!$C$106*'Input and Output'!$C$36*(1+'Input and Output'!$C$29)^J3/1000,0)</f>
        <v>0</v>
      </c>
      <c r="K28" s="164">
        <f>-IF(K44&gt;0,'Input and Output'!$C$78*'Input and Output'!$C$106*'Input and Output'!$C$36*(1+'Input and Output'!$C$29)^K3/1000,0)</f>
        <v>0</v>
      </c>
      <c r="L28" s="164">
        <f>-IF(L44&gt;0,'Input and Output'!$C$78*'Input and Output'!$C$106*'Input and Output'!$C$36*(1+'Input and Output'!$C$29)^L3/1000,0)</f>
        <v>0</v>
      </c>
      <c r="M28" s="164">
        <f>-IF(M44&gt;0,'Input and Output'!$C$78*'Input and Output'!$C$106*'Input and Output'!$C$36*(1+'Input and Output'!$C$29)^M3/1000,0)</f>
        <v>-7833.617948376785</v>
      </c>
      <c r="N28" s="164">
        <f>-IF(N44&gt;0,'Input and Output'!$C$78*'Input and Output'!$C$106*'Input and Output'!$C$36*(1+'Input and Output'!$C$29)^N3/1000,0)</f>
        <v>0</v>
      </c>
      <c r="O28" s="164">
        <f>-IF(O44&gt;0,'Input and Output'!$C$78*'Input and Output'!$C$106*'Input and Output'!$C$36*(1+'Input and Output'!$C$29)^O3/1000,0)</f>
        <v>0</v>
      </c>
      <c r="P28" s="164">
        <f>-IF(P44&gt;0,'Input and Output'!$C$78*'Input and Output'!$C$106*'Input and Output'!$C$36*(1+'Input and Output'!$C$29)^P3/1000,0)</f>
        <v>0</v>
      </c>
      <c r="Q28" s="164">
        <f>-IF(Q44&gt;0,'Input and Output'!$C$78*'Input and Output'!$C$106*'Input and Output'!$C$36*(1+'Input and Output'!$C$29)^Q3/1000,0)</f>
        <v>0</v>
      </c>
      <c r="R28" s="164">
        <f>-IF(R44&gt;0,'Input and Output'!$C$78*'Input and Output'!$C$106*'Input and Output'!$C$36*(1+'Input and Output'!$C$29)^R3/1000,0)</f>
        <v>0</v>
      </c>
      <c r="S28" s="164">
        <f>-IF(S44&gt;0,'Input and Output'!$C$78*'Input and Output'!$C$106*'Input and Output'!$C$36*(1+'Input and Output'!$C$29)^S3/1000,0)</f>
        <v>0</v>
      </c>
      <c r="T28" s="164">
        <f>-IF(T44&gt;0,'Input and Output'!$C$78*'Input and Output'!$C$106*'Input and Output'!$C$36*(1+'Input and Output'!$C$29)^T3/1000,0)</f>
        <v>0</v>
      </c>
      <c r="U28" s="164">
        <f>-IF(U44&gt;0,'Input and Output'!$C$78*'Input and Output'!$C$106*'Input and Output'!$C$36*(1+'Input and Output'!$C$29)^U3/1000,0)</f>
        <v>0</v>
      </c>
      <c r="V28" s="164">
        <f>-IF(V44&gt;0,'Input and Output'!$C$78*'Input and Output'!$C$106*'Input and Output'!$C$36*(1+'Input and Output'!$C$29)^V3/1000,0)</f>
        <v>0</v>
      </c>
      <c r="W28" s="164">
        <f>-IF(W44&gt;0,'Input and Output'!$C$78*'Input and Output'!$C$106*'Input and Output'!$C$36*(1+'Input and Output'!$C$29)^W3/1000,0)</f>
        <v>0</v>
      </c>
      <c r="X28" s="164">
        <f>-IF(X44&gt;0,'Input and Output'!$C$78*'Input and Output'!$C$106*'Input and Output'!$C$36*(1+'Input and Output'!$C$29)^X3/1000,0)</f>
        <v>0</v>
      </c>
      <c r="Y28" s="164">
        <f>-IF(Y44&gt;0,'Input and Output'!$C$78*'Input and Output'!$C$106*'Input and Output'!$C$36*(1+'Input and Output'!$C$29)^Y3/1000,0)</f>
        <v>0</v>
      </c>
      <c r="Z28" s="164">
        <f>-IF(Z44&gt;0,'Input and Output'!$C$78*'Input and Output'!$C$106*'Input and Output'!$C$36*(1+'Input and Output'!$C$29)^Z3/1000,0)</f>
        <v>0</v>
      </c>
      <c r="AA28" s="164">
        <f>-IF(AA44&gt;0,'Input and Output'!$C$78*'Input and Output'!$C$106*'Input and Output'!$C$36*(1+'Input and Output'!$C$29)^AA3/1000,0)</f>
        <v>0</v>
      </c>
      <c r="AB28" s="164">
        <f>-IF(AB44&gt;0,'Input and Output'!$C$78*'Input and Output'!$C$106*'Input and Output'!$C$36*(1+'Input and Output'!$C$29)^AB3/1000,0)</f>
        <v>0</v>
      </c>
      <c r="AC28" s="164">
        <f>-IF(AC44&gt;0,'Input and Output'!$C$78*'Input and Output'!$C$106*'Input and Output'!$C$36*(1+'Input and Output'!$C$29)^AC3/1000,0)</f>
        <v>0</v>
      </c>
      <c r="AD28" s="164">
        <f>-IF(AD44&gt;0,'Input and Output'!$C$78*'Input and Output'!$C$106*'Input and Output'!$C$36*(1+'Input and Output'!$C$29)^AD3/1000,0)</f>
        <v>0</v>
      </c>
      <c r="AE28" s="164">
        <f>-IF(AE44&gt;0,'Input and Output'!$C$78*'Input and Output'!$C$106*'Input and Output'!$C$36*(1+'Input and Output'!$C$29)^AE3/1000,0)</f>
        <v>0</v>
      </c>
      <c r="AF28" s="164">
        <f>-IF(AF44&gt;0,'Input and Output'!$C$78*'Input and Output'!$C$106*'Input and Output'!$C$36*(1+'Input and Output'!$C$29)^AF3/1000,0)</f>
        <v>0</v>
      </c>
      <c r="AG28" s="164">
        <f>-IF(AG44&gt;0,'Input and Output'!$C$78*'Input and Output'!$C$106*'Input and Output'!$C$36*(1+'Input and Output'!$C$29)^AG3/1000,0)</f>
        <v>0</v>
      </c>
      <c r="AH28" s="164">
        <f>-IF(AH44&gt;0,'Input and Output'!$C$78*'Input and Output'!$C$106*'Input and Output'!$C$36*(1+'Input and Output'!$C$29)^AH3/1000,0)</f>
        <v>0</v>
      </c>
      <c r="AI28" s="164">
        <f>-IF(AI44&gt;0,'Input and Output'!$C$78*'Input and Output'!$C$106*'Input and Output'!$C$36*(1+'Input and Output'!$C$29)^AI3/1000,0)</f>
        <v>0</v>
      </c>
      <c r="AJ28" s="164">
        <f>-IF(AJ44&gt;0,'Input and Output'!$C$78*'Input and Output'!$C$106*'Input and Output'!$C$36*(1+'Input and Output'!$C$29)^AJ3/1000,0)</f>
        <v>0</v>
      </c>
      <c r="AK28" s="164">
        <f>-IF(AK44&gt;0,'Input and Output'!$C$78*'Input and Output'!$C$106*'Input and Output'!$C$36*(1+'Input and Output'!$C$29)^AK3/1000,0)</f>
        <v>0</v>
      </c>
      <c r="AL28" s="164">
        <f>-IF(AL44&gt;0,'Input and Output'!$C$78*'Input and Output'!$C$106*'Input and Output'!$C$36*(1+'Input and Output'!$C$29)^AL3/1000,0)</f>
        <v>0</v>
      </c>
      <c r="AM28" s="164"/>
      <c r="AN28" s="164"/>
      <c r="AO28" s="164"/>
      <c r="AP28" s="164"/>
      <c r="AQ28" s="164"/>
    </row>
    <row r="29" spans="1:43" s="153" customFormat="1" ht="11.25">
      <c r="A29" s="94" t="s">
        <v>90</v>
      </c>
      <c r="B29" s="86" t="s">
        <v>57</v>
      </c>
      <c r="C29" s="99">
        <f t="shared" si="3"/>
        <v>-6477.4768503415935</v>
      </c>
      <c r="D29" s="164">
        <f>-IF(D45&gt;0,'Input and Output'!$C$78*'Input and Output'!$C$110*'Input and Output'!$C$36*(1+'Input and Output'!$C$29)^D3/1000,0)</f>
        <v>0</v>
      </c>
      <c r="E29" s="164">
        <f>-IF(E45&gt;0,'Input and Output'!$C$78*'Input and Output'!$C$110*'Input and Output'!$C$36*(1+'Input and Output'!$C$29)^E3/1000,0)</f>
        <v>0</v>
      </c>
      <c r="F29" s="164">
        <f>-IF(F45&gt;0,'Input and Output'!$C$78*'Input and Output'!$C$110*'Input and Output'!$C$36*(1+'Input and Output'!$C$29)^F3/1000,0)</f>
        <v>0</v>
      </c>
      <c r="G29" s="164">
        <f>-IF(G45&gt;0,'Input and Output'!$C$78*'Input and Output'!$C$110*'Input and Output'!$C$36*(1+'Input and Output'!$C$29)^G3/1000,0)</f>
        <v>0</v>
      </c>
      <c r="H29" s="164">
        <f>-IF(H45&gt;0,'Input and Output'!$C$78*'Input and Output'!$C$110*'Input and Output'!$C$36*(1+'Input and Output'!$C$29)^H3/1000,0)</f>
        <v>0</v>
      </c>
      <c r="I29" s="164">
        <f>-IF(I45&gt;0,'Input and Output'!$C$78*'Input and Output'!$C$110*'Input and Output'!$C$36*(1+'Input and Output'!$C$29)^I3/1000,0)</f>
        <v>0</v>
      </c>
      <c r="J29" s="164">
        <f>-IF(J45&gt;0,'Input and Output'!$C$78*'Input and Output'!$C$110*'Input and Output'!$C$36*(1+'Input and Output'!$C$29)^J3/1000,0)</f>
        <v>0</v>
      </c>
      <c r="K29" s="164">
        <f>-IF(K45&gt;0,'Input and Output'!$C$78*'Input and Output'!$C$110*'Input and Output'!$C$36*(1+'Input and Output'!$C$29)^K3/1000,0)</f>
        <v>0</v>
      </c>
      <c r="L29" s="164">
        <f>-IF(L45&gt;0,'Input and Output'!$C$78*'Input and Output'!$C$110*'Input and Output'!$C$36*(1+'Input and Output'!$C$29)^L3/1000,0)</f>
        <v>0</v>
      </c>
      <c r="M29" s="164">
        <f>-IF(M45&gt;0,'Input and Output'!$C$78*'Input and Output'!$C$110*'Input and Output'!$C$36*(1+'Input and Output'!$C$29)^M3/1000,0)</f>
        <v>0</v>
      </c>
      <c r="N29" s="164">
        <f>-IF(N45&gt;0,'Input and Output'!$C$78*'Input and Output'!$C$110*'Input and Output'!$C$36*(1+'Input and Output'!$C$29)^N3/1000,0)</f>
        <v>0</v>
      </c>
      <c r="O29" s="164">
        <f>-IF(O45&gt;0,'Input and Output'!$C$78*'Input and Output'!$C$110*'Input and Output'!$C$36*(1+'Input and Output'!$C$29)^O3/1000,0)</f>
        <v>0</v>
      </c>
      <c r="P29" s="164">
        <f>-IF(P45&gt;0,'Input and Output'!$C$78*'Input and Output'!$C$110*'Input and Output'!$C$36*(1+'Input and Output'!$C$29)^P3/1000,0)</f>
        <v>0</v>
      </c>
      <c r="Q29" s="164">
        <f>-IF(Q45&gt;0,'Input and Output'!$C$78*'Input and Output'!$C$110*'Input and Output'!$C$36*(1+'Input and Output'!$C$29)^Q3/1000,0)</f>
        <v>0</v>
      </c>
      <c r="R29" s="164">
        <f>-IF(R45&gt;0,'Input and Output'!$C$78*'Input and Output'!$C$110*'Input and Output'!$C$36*(1+'Input and Output'!$C$29)^R3/1000,0)</f>
        <v>0</v>
      </c>
      <c r="S29" s="164">
        <f>-IF(S45&gt;0,'Input and Output'!$C$78*'Input and Output'!$C$110*'Input and Output'!$C$36*(1+'Input and Output'!$C$29)^S3/1000,0)</f>
        <v>0</v>
      </c>
      <c r="T29" s="164">
        <f>-IF(T45&gt;0,'Input and Output'!$C$78*'Input and Output'!$C$110*'Input and Output'!$C$36*(1+'Input and Output'!$C$29)^T3/1000,0)</f>
        <v>0</v>
      </c>
      <c r="U29" s="164">
        <f>-IF(U45&gt;0,'Input and Output'!$C$78*'Input and Output'!$C$110*'Input and Output'!$C$36*(1+'Input and Output'!$C$29)^U3/1000,0)</f>
        <v>0</v>
      </c>
      <c r="V29" s="164">
        <f>-IF(V45&gt;0,'Input and Output'!$C$78*'Input and Output'!$C$110*'Input and Output'!$C$36*(1+'Input and Output'!$C$29)^V3/1000,0)</f>
        <v>0</v>
      </c>
      <c r="W29" s="164">
        <f>-IF(W45&gt;0,'Input and Output'!$C$78*'Input and Output'!$C$110*'Input and Output'!$C$36*(1+'Input and Output'!$C$29)^W3/1000,0)</f>
        <v>-6477.4768503415935</v>
      </c>
      <c r="X29" s="164">
        <f>-IF(X45&gt;0,'Input and Output'!$C$78*'Input and Output'!$C$110*'Input and Output'!$C$36*(1+'Input and Output'!$C$29)^X3/1000,0)</f>
        <v>0</v>
      </c>
      <c r="Y29" s="164">
        <f>-IF(Y45&gt;0,'Input and Output'!$C$78*'Input and Output'!$C$110*'Input and Output'!$C$36*(1+'Input and Output'!$C$29)^Y3/1000,0)</f>
        <v>0</v>
      </c>
      <c r="Z29" s="164">
        <f>-IF(Z45&gt;0,'Input and Output'!$C$78*'Input and Output'!$C$110*'Input and Output'!$C$36*(1+'Input and Output'!$C$29)^Z3/1000,0)</f>
        <v>0</v>
      </c>
      <c r="AA29" s="164">
        <f>-IF(AA45&gt;0,'Input and Output'!$C$78*'Input and Output'!$C$110*'Input and Output'!$C$36*(1+'Input and Output'!$C$29)^AA3/1000,0)</f>
        <v>0</v>
      </c>
      <c r="AB29" s="164">
        <f>-IF(AB45&gt;0,'Input and Output'!$C$78*'Input and Output'!$C$110*'Input and Output'!$C$36*(1+'Input and Output'!$C$29)^AB3/1000,0)</f>
        <v>0</v>
      </c>
      <c r="AC29" s="164">
        <f>-IF(AC45&gt;0,'Input and Output'!$C$78*'Input and Output'!$C$110*'Input and Output'!$C$36*(1+'Input and Output'!$C$29)^AC3/1000,0)</f>
        <v>0</v>
      </c>
      <c r="AD29" s="164">
        <f>-IF(AD45&gt;0,'Input and Output'!$C$78*'Input and Output'!$C$110*'Input and Output'!$C$36*(1+'Input and Output'!$C$29)^AD3/1000,0)</f>
        <v>0</v>
      </c>
      <c r="AE29" s="164">
        <f>-IF(AE45&gt;0,'Input and Output'!$C$78*'Input and Output'!$C$110*'Input and Output'!$C$36*(1+'Input and Output'!$C$29)^AE3/1000,0)</f>
        <v>0</v>
      </c>
      <c r="AF29" s="164">
        <f>-IF(AF45&gt;0,'Input and Output'!$C$78*'Input and Output'!$C$110*'Input and Output'!$C$36*(1+'Input and Output'!$C$29)^AF3/1000,0)</f>
        <v>0</v>
      </c>
      <c r="AG29" s="164">
        <f>-IF(AG45&gt;0,'Input and Output'!$C$78*'Input and Output'!$C$110*'Input and Output'!$C$36*(1+'Input and Output'!$C$29)^AG3/1000,0)</f>
        <v>0</v>
      </c>
      <c r="AH29" s="164">
        <f>-IF(AH45&gt;0,'Input and Output'!$C$78*'Input and Output'!$C$110*'Input and Output'!$C$36*(1+'Input and Output'!$C$29)^AH3/1000,0)</f>
        <v>0</v>
      </c>
      <c r="AI29" s="164">
        <f>-IF(AI45&gt;0,'Input and Output'!$C$78*'Input and Output'!$C$110*'Input and Output'!$C$36*(1+'Input and Output'!$C$29)^AI3/1000,0)</f>
        <v>0</v>
      </c>
      <c r="AJ29" s="164">
        <f>-IF(AJ45&gt;0,'Input and Output'!$C$78*'Input and Output'!$C$110*'Input and Output'!$C$36*(1+'Input and Output'!$C$29)^AJ3/1000,0)</f>
        <v>0</v>
      </c>
      <c r="AK29" s="164">
        <f>-IF(AK45&gt;0,'Input and Output'!$C$78*'Input and Output'!$C$110*'Input and Output'!$C$36*(1+'Input and Output'!$C$29)^AK3/1000,0)</f>
        <v>0</v>
      </c>
      <c r="AL29" s="164">
        <f>-IF(AL45&gt;0,'Input and Output'!$C$78*'Input and Output'!$C$110*'Input and Output'!$C$36*(1+'Input and Output'!$C$29)^AL3/1000,0)</f>
        <v>0</v>
      </c>
      <c r="AM29" s="164"/>
      <c r="AN29" s="164"/>
      <c r="AO29" s="164"/>
      <c r="AP29" s="164"/>
      <c r="AQ29" s="164"/>
    </row>
    <row r="30" spans="1:43" s="153" customFormat="1" ht="11.25">
      <c r="A30" s="94" t="s">
        <v>91</v>
      </c>
      <c r="B30" s="86" t="s">
        <v>57</v>
      </c>
      <c r="C30" s="99">
        <f t="shared" si="3"/>
        <v>-6819.989365197601</v>
      </c>
      <c r="D30" s="164">
        <f>-IF(D46&gt;0,'Input and Output'!$C$79*'Input and Output'!$C$114*'Input and Output'!$C$36*(1+'Input and Output'!$C$29)^D3/1000,0)</f>
        <v>0</v>
      </c>
      <c r="E30" s="164">
        <f>-IF(E46&gt;0,'Input and Output'!$C$79*'Input and Output'!$C$114*'Input and Output'!$C$36*(1+'Input and Output'!$C$29)^E3/1000,0)</f>
        <v>0</v>
      </c>
      <c r="F30" s="164">
        <f>-IF(F46&gt;0,'Input and Output'!$C$79*'Input and Output'!$C$114*'Input and Output'!$C$36*(1+'Input and Output'!$C$29)^F3/1000,0)</f>
        <v>0</v>
      </c>
      <c r="G30" s="164">
        <f>-IF(G46&gt;0,'Input and Output'!$C$79*'Input and Output'!$C$114*'Input and Output'!$C$36*(1+'Input and Output'!$C$29)^G3/1000,0)</f>
        <v>0</v>
      </c>
      <c r="H30" s="164">
        <f>-IF(H46&gt;0,'Input and Output'!$C$79*'Input and Output'!$C$114*'Input and Output'!$C$36*(1+'Input and Output'!$C$29)^H3/1000,0)</f>
        <v>0</v>
      </c>
      <c r="I30" s="164">
        <f>-IF(I46&gt;0,'Input and Output'!$C$79*'Input and Output'!$C$114*'Input and Output'!$C$36*(1+'Input and Output'!$C$29)^I3/1000,0)</f>
        <v>0</v>
      </c>
      <c r="J30" s="164">
        <f>-IF(J46&gt;0,'Input and Output'!$C$79*'Input and Output'!$C$114*'Input and Output'!$C$36*(1+'Input and Output'!$C$29)^J3/1000,0)</f>
        <v>0</v>
      </c>
      <c r="K30" s="164">
        <f>-IF(K46&gt;0,'Input and Output'!$C$79*'Input and Output'!$C$114*'Input and Output'!$C$36*(1+'Input and Output'!$C$29)^K3/1000,0)</f>
        <v>0</v>
      </c>
      <c r="L30" s="164">
        <f>-IF(L46&gt;0,'Input and Output'!$C$79*'Input and Output'!$C$114*'Input and Output'!$C$36*(1+'Input and Output'!$C$29)^L3/1000,0)</f>
        <v>0</v>
      </c>
      <c r="M30" s="164">
        <f>-IF(M46&gt;0,'Input and Output'!$C$79*'Input and Output'!$C$114*'Input and Output'!$C$36*(1+'Input and Output'!$C$29)^M3/1000,0)</f>
        <v>0</v>
      </c>
      <c r="N30" s="164">
        <f>-IF(N46&gt;0,'Input and Output'!$C$79*'Input and Output'!$C$114*'Input and Output'!$C$36*(1+'Input and Output'!$C$29)^N3/1000,0)</f>
        <v>0</v>
      </c>
      <c r="O30" s="164">
        <f>-IF(O46&gt;0,'Input and Output'!$C$79*'Input and Output'!$C$114*'Input and Output'!$C$36*(1+'Input and Output'!$C$29)^O3/1000,0)</f>
        <v>0</v>
      </c>
      <c r="P30" s="164">
        <f>-IF(P46&gt;0,'Input and Output'!$C$79*'Input and Output'!$C$114*'Input and Output'!$C$36*(1+'Input and Output'!$C$29)^P3/1000,0)</f>
        <v>0</v>
      </c>
      <c r="Q30" s="164">
        <f>-IF(Q46&gt;0,'Input and Output'!$C$79*'Input and Output'!$C$114*'Input and Output'!$C$36*(1+'Input and Output'!$C$29)^Q3/1000,0)</f>
        <v>0</v>
      </c>
      <c r="R30" s="164">
        <f>-IF(R46&gt;0,'Input and Output'!$C$79*'Input and Output'!$C$114*'Input and Output'!$C$36*(1+'Input and Output'!$C$29)^R3/1000,0)</f>
        <v>0</v>
      </c>
      <c r="S30" s="164">
        <f>-IF(S46&gt;0,'Input and Output'!$C$79*'Input and Output'!$C$114*'Input and Output'!$C$36*(1+'Input and Output'!$C$29)^S3/1000,0)</f>
        <v>0</v>
      </c>
      <c r="T30" s="164">
        <f>-IF(T46&gt;0,'Input and Output'!$C$79*'Input and Output'!$C$114*'Input and Output'!$C$36*(1+'Input and Output'!$C$29)^T3/1000,0)</f>
        <v>0</v>
      </c>
      <c r="U30" s="164">
        <f>-IF(U46&gt;0,'Input and Output'!$C$79*'Input and Output'!$C$114*'Input and Output'!$C$36*(1+'Input and Output'!$C$29)^U3/1000,0)</f>
        <v>0</v>
      </c>
      <c r="V30" s="164">
        <f>-IF(V46&gt;0,'Input and Output'!$C$79*'Input and Output'!$C$114*'Input and Output'!$C$36*(1+'Input and Output'!$C$29)^V3/1000,0)</f>
        <v>0</v>
      </c>
      <c r="W30" s="164">
        <f>-IF(W46&gt;0,'Input and Output'!$C$79*'Input and Output'!$C$114*'Input and Output'!$C$36*(1+'Input and Output'!$C$29)^W3/1000,0)</f>
        <v>0</v>
      </c>
      <c r="X30" s="164">
        <f>-IF(X46&gt;0,'Input and Output'!$C$79*'Input and Output'!$C$114*'Input and Output'!$C$36*(1+'Input and Output'!$C$29)^X3/1000,0)</f>
        <v>0</v>
      </c>
      <c r="Y30" s="164">
        <f>-IF(Y46&gt;0,'Input and Output'!$C$79*'Input and Output'!$C$114*'Input and Output'!$C$36*(1+'Input and Output'!$C$29)^Y3/1000,0)</f>
        <v>0</v>
      </c>
      <c r="Z30" s="164">
        <f>-IF(Z46&gt;0,'Input and Output'!$C$79*'Input and Output'!$C$114*'Input and Output'!$C$36*(1+'Input and Output'!$C$29)^Z3/1000,0)</f>
        <v>0</v>
      </c>
      <c r="AA30" s="164">
        <f>-IF(AA46&gt;0,'Input and Output'!$C$79*'Input and Output'!$C$114*'Input and Output'!$C$36*(1+'Input and Output'!$C$29)^AA3/1000,0)</f>
        <v>0</v>
      </c>
      <c r="AB30" s="164">
        <f>-IF(AB46&gt;0,'Input and Output'!$C$79*'Input and Output'!$C$114*'Input and Output'!$C$36*(1+'Input and Output'!$C$29)^AB3/1000,0)</f>
        <v>-6819.989365197601</v>
      </c>
      <c r="AC30" s="164">
        <f>-IF(AC46&gt;0,'Input and Output'!$C$79*'Input and Output'!$C$114*'Input and Output'!$C$36*(1+'Input and Output'!$C$29)^AC3/1000,0)</f>
        <v>0</v>
      </c>
      <c r="AD30" s="164">
        <f>-IF(AD46&gt;0,'Input and Output'!$C$79*'Input and Output'!$C$114*'Input and Output'!$C$36*(1+'Input and Output'!$C$29)^AD3/1000,0)</f>
        <v>0</v>
      </c>
      <c r="AE30" s="164">
        <f>-IF(AE46&gt;0,'Input and Output'!$C$79*'Input and Output'!$C$114*'Input and Output'!$C$36*(1+'Input and Output'!$C$29)^AE3/1000,0)</f>
        <v>0</v>
      </c>
      <c r="AF30" s="164">
        <f>-IF(AF46&gt;0,'Input and Output'!$C$79*'Input and Output'!$C$114*'Input and Output'!$C$36*(1+'Input and Output'!$C$29)^AF3/1000,0)</f>
        <v>0</v>
      </c>
      <c r="AG30" s="164">
        <f>-IF(AG46&gt;0,'Input and Output'!$C$79*'Input and Output'!$C$114*'Input and Output'!$C$36*(1+'Input and Output'!$C$29)^AG3/1000,0)</f>
        <v>0</v>
      </c>
      <c r="AH30" s="164">
        <f>-IF(AH46&gt;0,'Input and Output'!$C$79*'Input and Output'!$C$114*'Input and Output'!$C$36*(1+'Input and Output'!$C$29)^AH3/1000,0)</f>
        <v>0</v>
      </c>
      <c r="AI30" s="164">
        <f>-IF(AI46&gt;0,'Input and Output'!$C$79*'Input and Output'!$C$114*'Input and Output'!$C$36*(1+'Input and Output'!$C$29)^AI3/1000,0)</f>
        <v>0</v>
      </c>
      <c r="AJ30" s="164">
        <f>-IF(AJ46&gt;0,'Input and Output'!$C$79*'Input and Output'!$C$114*'Input and Output'!$C$36*(1+'Input and Output'!$C$29)^AJ3/1000,0)</f>
        <v>0</v>
      </c>
      <c r="AK30" s="164">
        <f>-IF(AK46&gt;0,'Input and Output'!$C$79*'Input and Output'!$C$114*'Input and Output'!$C$36*(1+'Input and Output'!$C$29)^AK3/1000,0)</f>
        <v>0</v>
      </c>
      <c r="AL30" s="164">
        <f>-IF(AL46&gt;0,'Input and Output'!$C$79*'Input and Output'!$C$114*'Input and Output'!$C$36*(1+'Input and Output'!$C$29)^AL3/1000,0)</f>
        <v>0</v>
      </c>
      <c r="AM30" s="164"/>
      <c r="AN30" s="164"/>
      <c r="AO30" s="164"/>
      <c r="AP30" s="164"/>
      <c r="AQ30" s="164"/>
    </row>
    <row r="31" spans="1:43" s="153" customFormat="1" ht="11.25">
      <c r="A31" s="94" t="s">
        <v>89</v>
      </c>
      <c r="B31" s="86" t="s">
        <v>57</v>
      </c>
      <c r="C31" s="99">
        <f t="shared" si="3"/>
        <v>-11872.264688655712</v>
      </c>
      <c r="D31" s="164">
        <f>-IF(D47&gt;0,'Input and Output'!$C$79*'Input and Output'!$C$118*'Input and Output'!$C$36*(1+'Input and Output'!$C$29)^D3/1000,0)</f>
        <v>0</v>
      </c>
      <c r="E31" s="164">
        <f>-IF(E47&gt;0,'Input and Output'!$C$79*'Input and Output'!$C$118*'Input and Output'!$C$36*(1+'Input and Output'!$C$29)^E3/1000,0)</f>
        <v>0</v>
      </c>
      <c r="F31" s="164">
        <f>-IF(F47&gt;0,'Input and Output'!$C$79*'Input and Output'!$C$118*'Input and Output'!$C$36*(1+'Input and Output'!$C$29)^F3/1000,0)</f>
        <v>0</v>
      </c>
      <c r="G31" s="164">
        <f>-IF(G47&gt;0,'Input and Output'!$C$79*'Input and Output'!$C$118*'Input and Output'!$C$36*(1+'Input and Output'!$C$29)^G3/1000,0)</f>
        <v>0</v>
      </c>
      <c r="H31" s="164">
        <f>-IF(H47&gt;0,'Input and Output'!$C$79*'Input and Output'!$C$118*'Input and Output'!$C$36*(1+'Input and Output'!$C$29)^H3/1000,0)</f>
        <v>0</v>
      </c>
      <c r="I31" s="164">
        <f>-IF(I47&gt;0,'Input and Output'!$C$79*'Input and Output'!$C$118*'Input and Output'!$C$36*(1+'Input and Output'!$C$29)^I3/1000,0)</f>
        <v>0</v>
      </c>
      <c r="J31" s="164">
        <f>-IF(J47&gt;0,'Input and Output'!$C$79*'Input and Output'!$C$118*'Input and Output'!$C$36*(1+'Input and Output'!$C$29)^J3/1000,0)</f>
        <v>0</v>
      </c>
      <c r="K31" s="164">
        <f>-IF(K47&gt;0,'Input and Output'!$C$79*'Input and Output'!$C$118*'Input and Output'!$C$36*(1+'Input and Output'!$C$29)^K3/1000,0)</f>
        <v>0</v>
      </c>
      <c r="L31" s="164">
        <f>-IF(L47&gt;0,'Input and Output'!$C$79*'Input and Output'!$C$118*'Input and Output'!$C$36*(1+'Input and Output'!$C$29)^L3/1000,0)</f>
        <v>0</v>
      </c>
      <c r="M31" s="164">
        <f>-IF(M47&gt;0,'Input and Output'!$C$79*'Input and Output'!$C$118*'Input and Output'!$C$36*(1+'Input and Output'!$C$29)^M3/1000,0)</f>
        <v>0</v>
      </c>
      <c r="N31" s="164">
        <f>-IF(N47&gt;0,'Input and Output'!$C$79*'Input and Output'!$C$118*'Input and Output'!$C$36*(1+'Input and Output'!$C$29)^N3/1000,0)</f>
        <v>0</v>
      </c>
      <c r="O31" s="164">
        <f>-IF(O47&gt;0,'Input and Output'!$C$79*'Input and Output'!$C$118*'Input and Output'!$C$36*(1+'Input and Output'!$C$29)^O3/1000,0)</f>
        <v>0</v>
      </c>
      <c r="P31" s="164">
        <f>-IF(P47&gt;0,'Input and Output'!$C$79*'Input and Output'!$C$118*'Input and Output'!$C$36*(1+'Input and Output'!$C$29)^P3/1000,0)</f>
        <v>0</v>
      </c>
      <c r="Q31" s="164">
        <f>-IF(Q47&gt;0,'Input and Output'!$C$79*'Input and Output'!$C$118*'Input and Output'!$C$36*(1+'Input and Output'!$C$29)^Q3/1000,0)</f>
        <v>0</v>
      </c>
      <c r="R31" s="164">
        <f>-IF(R47&gt;0,'Input and Output'!$C$79*'Input and Output'!$C$118*'Input and Output'!$C$36*(1+'Input and Output'!$C$29)^R3/1000,0)</f>
        <v>0</v>
      </c>
      <c r="S31" s="164">
        <f>-IF(S47&gt;0,'Input and Output'!$C$79*'Input and Output'!$C$118*'Input and Output'!$C$36*(1+'Input and Output'!$C$29)^S3/1000,0)</f>
        <v>0</v>
      </c>
      <c r="T31" s="164">
        <f>-IF(T47&gt;0,'Input and Output'!$C$79*'Input and Output'!$C$118*'Input and Output'!$C$36*(1+'Input and Output'!$C$29)^T3/1000,0)</f>
        <v>0</v>
      </c>
      <c r="U31" s="164">
        <f>-IF(U47&gt;0,'Input and Output'!$C$79*'Input and Output'!$C$118*'Input and Output'!$C$36*(1+'Input and Output'!$C$29)^U3/1000,0)</f>
        <v>0</v>
      </c>
      <c r="V31" s="164">
        <f>-IF(V47&gt;0,'Input and Output'!$C$79*'Input and Output'!$C$118*'Input and Output'!$C$36*(1+'Input and Output'!$C$29)^V3/1000,0)</f>
        <v>0</v>
      </c>
      <c r="W31" s="164">
        <f>-IF(W47&gt;0,'Input and Output'!$C$79*'Input and Output'!$C$118*'Input and Output'!$C$36*(1+'Input and Output'!$C$29)^W3/1000,0)</f>
        <v>0</v>
      </c>
      <c r="X31" s="164">
        <f>-IF(X47&gt;0,'Input and Output'!$C$79*'Input and Output'!$C$118*'Input and Output'!$C$36*(1+'Input and Output'!$C$29)^X3/1000,0)</f>
        <v>0</v>
      </c>
      <c r="Y31" s="164">
        <f>-IF(Y47&gt;0,'Input and Output'!$C$79*'Input and Output'!$C$118*'Input and Output'!$C$36*(1+'Input and Output'!$C$29)^Y3/1000,0)</f>
        <v>0</v>
      </c>
      <c r="Z31" s="164">
        <f>-IF(Z47&gt;0,'Input and Output'!$C$79*'Input and Output'!$C$118*'Input and Output'!$C$36*(1+'Input and Output'!$C$29)^Z3/1000,0)</f>
        <v>0</v>
      </c>
      <c r="AA31" s="164">
        <f>-IF(AA47&gt;0,'Input and Output'!$C$79*'Input and Output'!$C$118*'Input and Output'!$C$36*(1+'Input and Output'!$C$29)^AA3/1000,0)</f>
        <v>0</v>
      </c>
      <c r="AB31" s="164">
        <f>-IF(AB47&gt;0,'Input and Output'!$C$79*'Input and Output'!$C$118*'Input and Output'!$C$36*(1+'Input and Output'!$C$29)^AB3/1000,0)</f>
        <v>0</v>
      </c>
      <c r="AC31" s="164">
        <f>-IF(AC47&gt;0,'Input and Output'!$C$79*'Input and Output'!$C$118*'Input and Output'!$C$36*(1+'Input and Output'!$C$29)^AC3/1000,0)</f>
        <v>0</v>
      </c>
      <c r="AD31" s="164">
        <f>-IF(AD47&gt;0,'Input and Output'!$C$79*'Input and Output'!$C$118*'Input and Output'!$C$36*(1+'Input and Output'!$C$29)^AD3/1000,0)</f>
        <v>0</v>
      </c>
      <c r="AE31" s="164">
        <f>-IF(AE47&gt;0,'Input and Output'!$C$79*'Input and Output'!$C$118*'Input and Output'!$C$36*(1+'Input and Output'!$C$29)^AE3/1000,0)</f>
        <v>0</v>
      </c>
      <c r="AF31" s="164">
        <f>-IF(AF47&gt;0,'Input and Output'!$C$79*'Input and Output'!$C$118*'Input and Output'!$C$36*(1+'Input and Output'!$C$29)^AF3/1000,0)</f>
        <v>0</v>
      </c>
      <c r="AG31" s="164">
        <f>-IF(AG47&gt;0,'Input and Output'!$C$79*'Input and Output'!$C$118*'Input and Output'!$C$36*(1+'Input and Output'!$C$29)^AG3/1000,0)</f>
        <v>0</v>
      </c>
      <c r="AH31" s="164">
        <f>-IF(AH47&gt;0,'Input and Output'!$C$79*'Input and Output'!$C$118*'Input and Output'!$C$36*(1+'Input and Output'!$C$29)^AH3/1000,0)</f>
        <v>0</v>
      </c>
      <c r="AI31" s="164">
        <f>-IF(AI47&gt;0,'Input and Output'!$C$79*'Input and Output'!$C$118*'Input and Output'!$C$36*(1+'Input and Output'!$C$29)^AI3/1000,0)</f>
        <v>0</v>
      </c>
      <c r="AJ31" s="164">
        <f>-IF(AJ47&gt;0,'Input and Output'!$C$79*'Input and Output'!$C$118*'Input and Output'!$C$36*(1+'Input and Output'!$C$29)^AJ3/1000,0)</f>
        <v>0</v>
      </c>
      <c r="AK31" s="164">
        <f>-IF(AK47&gt;0,'Input and Output'!$C$79*'Input and Output'!$C$118*'Input and Output'!$C$36*(1+'Input and Output'!$C$29)^AK3/1000,0)</f>
        <v>0</v>
      </c>
      <c r="AL31" s="164">
        <f>-IF(AL47&gt;0,'Input and Output'!$C$79*'Input and Output'!$C$118*'Input and Output'!$C$36*(1+'Input and Output'!$C$29)^AL3/1000,0)</f>
        <v>-11872.264688655712</v>
      </c>
      <c r="AM31" s="164"/>
      <c r="AN31" s="164"/>
      <c r="AO31" s="164"/>
      <c r="AP31" s="164"/>
      <c r="AQ31" s="164"/>
    </row>
    <row r="32" spans="1:43" s="153" customFormat="1" ht="11.25">
      <c r="A32" s="94" t="s">
        <v>95</v>
      </c>
      <c r="B32" s="86" t="s">
        <v>57</v>
      </c>
      <c r="C32" s="99">
        <f t="shared" si="3"/>
        <v>-2648063.2194687566</v>
      </c>
      <c r="D32" s="164">
        <f>-IF(D3&lt;'Input and Output'!$C$121,0,('Input and Output'!$C$80*'Input and Output'!$C$36)*(1+'Input and Output'!$C$29)^Workings!D3/1000)</f>
        <v>0</v>
      </c>
      <c r="E32" s="164">
        <f>-IF(E3&lt;'Input and Output'!$C$121,0,('Input and Output'!$C$80*'Input and Output'!$C$36)*(1+'Input and Output'!$C$29)^Workings!E3/1000)</f>
        <v>0</v>
      </c>
      <c r="F32" s="164">
        <f>-IF(F3&lt;'Input and Output'!$C$121,0,('Input and Output'!$C$80*'Input and Output'!$C$36)*(1+'Input and Output'!$C$29)^Workings!F3/1000)</f>
        <v>0</v>
      </c>
      <c r="G32" s="164">
        <f>-IF(G3&lt;'Input and Output'!$C$121,0,('Input and Output'!$C$80*'Input and Output'!$C$36)*(1+'Input and Output'!$C$29)^Workings!G3/1000)</f>
        <v>0</v>
      </c>
      <c r="H32" s="164">
        <f>-IF(H3&lt;'Input and Output'!$C$121,0,('Input and Output'!$C$80*'Input and Output'!$C$36)*(1+'Input and Output'!$C$29)^Workings!H3/1000)</f>
        <v>-32984.88279242642</v>
      </c>
      <c r="I32" s="164">
        <f>-IF(I3&lt;'Input and Output'!$C$121,0,('Input and Output'!$C$80*'Input and Output'!$C$36)*(1+'Input and Output'!$C$29)^Workings!I3/1000)</f>
        <v>-34865.02111159473</v>
      </c>
      <c r="J32" s="164">
        <f>-IF(J3&lt;'Input and Output'!$C$121,0,('Input and Output'!$C$80*'Input and Output'!$C$36)*(1+'Input and Output'!$C$29)^Workings!J3/1000)</f>
        <v>-36852.32731495562</v>
      </c>
      <c r="K32" s="164">
        <f>-IF(K3&lt;'Input and Output'!$C$121,0,('Input and Output'!$C$80*'Input and Output'!$C$36)*(1+'Input and Output'!$C$29)^Workings!K3/1000)</f>
        <v>-38952.9099719081</v>
      </c>
      <c r="L32" s="164">
        <f>-IF(L3&lt;'Input and Output'!$C$121,0,('Input and Output'!$C$80*'Input and Output'!$C$36)*(1+'Input and Output'!$C$29)^Workings!L3/1000)</f>
        <v>-41173.22584030686</v>
      </c>
      <c r="M32" s="164">
        <f>-IF(M3&lt;'Input and Output'!$C$121,0,('Input and Output'!$C$80*'Input and Output'!$C$36)*(1+'Input and Output'!$C$29)^Workings!M3/1000)</f>
        <v>-43520.099713204356</v>
      </c>
      <c r="N32" s="164">
        <f>-IF(N3&lt;'Input and Output'!$C$121,0,('Input and Output'!$C$80*'Input and Output'!$C$36)*(1+'Input and Output'!$C$29)^Workings!N3/1000)</f>
        <v>-46000.74539685699</v>
      </c>
      <c r="O32" s="164">
        <f>-IF(O3&lt;'Input and Output'!$C$121,0,('Input and Output'!$C$80*'Input and Output'!$C$36)*(1+'Input and Output'!$C$29)^Workings!O3/1000)</f>
        <v>-48622.787884477846</v>
      </c>
      <c r="P32" s="164">
        <f>-IF(P3&lt;'Input and Output'!$C$121,0,('Input and Output'!$C$80*'Input and Output'!$C$36)*(1+'Input and Output'!$C$29)^Workings!P3/1000)</f>
        <v>-51394.28679389309</v>
      </c>
      <c r="Q32" s="164">
        <f>-IF(Q3&lt;'Input and Output'!$C$121,0,('Input and Output'!$C$80*'Input and Output'!$C$36)*(1+'Input and Output'!$C$29)^Workings!Q3/1000)</f>
        <v>-54323.76114114499</v>
      </c>
      <c r="R32" s="164">
        <f>-IF(R3&lt;'Input and Output'!$C$121,0,('Input and Output'!$C$80*'Input and Output'!$C$36)*(1+'Input and Output'!$C$29)^Workings!R3/1000)</f>
        <v>-57420.215526190244</v>
      </c>
      <c r="S32" s="164">
        <f>-IF(S3&lt;'Input and Output'!$C$121,0,('Input and Output'!$C$80*'Input and Output'!$C$36)*(1+'Input and Output'!$C$29)^Workings!S3/1000)</f>
        <v>-60693.1678111831</v>
      </c>
      <c r="T32" s="164">
        <f>-IF(T3&lt;'Input and Output'!$C$121,0,('Input and Output'!$C$80*'Input and Output'!$C$36)*(1+'Input and Output'!$C$29)^Workings!T3/1000)</f>
        <v>-64152.67837642053</v>
      </c>
      <c r="U32" s="164">
        <f>-IF(U3&lt;'Input and Output'!$C$121,0,('Input and Output'!$C$80*'Input and Output'!$C$36)*(1+'Input and Output'!$C$29)^Workings!U3/1000)</f>
        <v>-67809.38104387649</v>
      </c>
      <c r="V32" s="164">
        <f>-IF(V3&lt;'Input and Output'!$C$121,0,('Input and Output'!$C$80*'Input and Output'!$C$36)*(1+'Input and Output'!$C$29)^Workings!V3/1000)</f>
        <v>-71674.51576337748</v>
      </c>
      <c r="W32" s="164">
        <f>-IF(W3&lt;'Input and Output'!$C$121,0,('Input and Output'!$C$80*'Input and Output'!$C$36)*(1+'Input and Output'!$C$29)^Workings!W3/1000)</f>
        <v>-75759.96316188999</v>
      </c>
      <c r="X32" s="164">
        <f>-IF(X3&lt;'Input and Output'!$C$121,0,('Input and Output'!$C$80*'Input and Output'!$C$36)*(1+'Input and Output'!$C$29)^Workings!X3/1000)</f>
        <v>-80078.2810621177</v>
      </c>
      <c r="Y32" s="164">
        <f>-IF(Y3&lt;'Input and Output'!$C$121,0,('Input and Output'!$C$80*'Input and Output'!$C$36)*(1+'Input and Output'!$C$29)^Workings!Y3/1000)</f>
        <v>-84642.74308265843</v>
      </c>
      <c r="Z32" s="164">
        <f>-IF(Z3&lt;'Input and Output'!$C$121,0,('Input and Output'!$C$80*'Input and Output'!$C$36)*(1+'Input and Output'!$C$29)^Workings!Z3/1000)</f>
        <v>-89467.37943836994</v>
      </c>
      <c r="AA32" s="164">
        <f>-IF(AA3&lt;'Input and Output'!$C$121,0,('Input and Output'!$C$80*'Input and Output'!$C$36)*(1+'Input and Output'!$C$29)^Workings!AA3/1000)</f>
        <v>-94567.02006635704</v>
      </c>
      <c r="AB32" s="164">
        <f>-IF(AB3&lt;'Input and Output'!$C$121,0,('Input and Output'!$C$80*'Input and Output'!$C$36)*(1+'Input and Output'!$C$29)^Workings!AB3/1000)</f>
        <v>-99957.34021013939</v>
      </c>
      <c r="AC32" s="164">
        <f>-IF(AC3&lt;'Input and Output'!$C$121,0,('Input and Output'!$C$80*'Input and Output'!$C$36)*(1+'Input and Output'!$C$29)^Workings!AC3/1000)</f>
        <v>-105654.90860211733</v>
      </c>
      <c r="AD32" s="164">
        <f>-IF(AD3&lt;'Input and Output'!$C$121,0,('Input and Output'!$C$80*'Input and Output'!$C$36)*(1+'Input and Output'!$C$29)^Workings!AD3/1000)</f>
        <v>-111677.23839243801</v>
      </c>
      <c r="AE32" s="164">
        <f>-IF(AE3&lt;'Input and Output'!$C$121,0,('Input and Output'!$C$80*'Input and Output'!$C$36)*(1+'Input and Output'!$C$29)^Workings!AE3/1000)</f>
        <v>-118042.84098080697</v>
      </c>
      <c r="AF32" s="164">
        <f>-IF(AF3&lt;'Input and Output'!$C$121,0,('Input and Output'!$C$80*'Input and Output'!$C$36)*(1+'Input and Output'!$C$29)^Workings!AF3/1000)</f>
        <v>-124771.28291671298</v>
      </c>
      <c r="AG32" s="164">
        <f>-IF(AG3&lt;'Input and Output'!$C$121,0,('Input and Output'!$C$80*'Input and Output'!$C$36)*(1+'Input and Output'!$C$29)^Workings!AG3/1000)</f>
        <v>-131883.24604296562</v>
      </c>
      <c r="AH32" s="164">
        <f>-IF(AH3&lt;'Input and Output'!$C$121,0,('Input and Output'!$C$80*'Input and Output'!$C$36)*(1+'Input and Output'!$C$29)^Workings!AH3/1000)</f>
        <v>-139400.5910674146</v>
      </c>
      <c r="AI32" s="164">
        <f>-IF(AI3&lt;'Input and Output'!$C$121,0,('Input and Output'!$C$80*'Input and Output'!$C$36)*(1+'Input and Output'!$C$29)^Workings!AI3/1000)</f>
        <v>-147346.4247582573</v>
      </c>
      <c r="AJ32" s="164">
        <f>-IF(AJ3&lt;'Input and Output'!$C$121,0,('Input and Output'!$C$80*'Input and Output'!$C$36)*(1+'Input and Output'!$C$29)^Workings!AJ3/1000)</f>
        <v>-155745.17096947794</v>
      </c>
      <c r="AK32" s="164">
        <f>-IF(AK3&lt;'Input and Output'!$C$121,0,('Input and Output'!$C$80*'Input and Output'!$C$36)*(1+'Input and Output'!$C$29)^Workings!AK3/1000)</f>
        <v>-164622.6457147382</v>
      </c>
      <c r="AL32" s="164">
        <f>-IF(AL3&lt;'Input and Output'!$C$121,0,('Input and Output'!$C$80*'Input and Output'!$C$36)*(1+'Input and Output'!$C$29)^Workings!AL3/1000)</f>
        <v>-174006.1365204783</v>
      </c>
      <c r="AM32" s="164"/>
      <c r="AN32" s="164"/>
      <c r="AO32" s="164"/>
      <c r="AP32" s="164"/>
      <c r="AQ32" s="164"/>
    </row>
    <row r="33" spans="1:43" s="153" customFormat="1" ht="11.25">
      <c r="A33" s="94" t="s">
        <v>228</v>
      </c>
      <c r="B33" s="86" t="s">
        <v>57</v>
      </c>
      <c r="C33" s="99">
        <f t="shared" si="3"/>
        <v>-78134.82956959524</v>
      </c>
      <c r="D33" s="164">
        <f>'Input and Output'!$C$87*SUM(Workings!D22:D32)</f>
        <v>-15.062249999999999</v>
      </c>
      <c r="E33" s="164">
        <f>'Input and Output'!$C$87*SUM(Workings!E22:E32)</f>
        <v>-466.5445615833333</v>
      </c>
      <c r="F33" s="164">
        <f>'Input and Output'!$C$87*SUM(Workings!F22:F32)</f>
        <v>-371.1079416502499</v>
      </c>
      <c r="G33" s="164">
        <f>'Input and Output'!$C$87*SUM(Workings!G22:G32)</f>
        <v>-392.2610943243143</v>
      </c>
      <c r="H33" s="164">
        <f>'Input and Output'!$C$87*SUM(Workings!H22:H32)</f>
        <v>-1074.3176325493287</v>
      </c>
      <c r="I33" s="164">
        <f>'Input and Output'!$C$87*SUM(Workings!I22:I32)</f>
        <v>-1135.5537376046404</v>
      </c>
      <c r="J33" s="164">
        <f>'Input and Output'!$C$87*SUM(Workings!J22:J32)</f>
        <v>-1200.2803006481047</v>
      </c>
      <c r="K33" s="164">
        <f>'Input and Output'!$C$87*SUM(Workings!K22:K32)</f>
        <v>-1268.696277785047</v>
      </c>
      <c r="L33" s="164">
        <f>'Input and Output'!$C$87*SUM(Workings!L22:L32)</f>
        <v>-1176.319062257567</v>
      </c>
      <c r="M33" s="164">
        <f>'Input and Output'!$C$87*SUM(Workings!M22:M32)</f>
        <v>-1400.0416077737843</v>
      </c>
      <c r="N33" s="164">
        <f>'Input and Output'!$C$87*SUM(Workings!N22:N32)</f>
        <v>-1314.241295988204</v>
      </c>
      <c r="O33" s="164">
        <f>'Input and Output'!$C$87*SUM(Workings!O22:O32)</f>
        <v>-1389.153049859532</v>
      </c>
      <c r="P33" s="164">
        <f>'Input and Output'!$C$87*SUM(Workings!P22:P32)</f>
        <v>-1468.3347737015254</v>
      </c>
      <c r="Q33" s="164">
        <f>'Input and Output'!$C$87*SUM(Workings!Q22:Q32)</f>
        <v>-1552.0298558025124</v>
      </c>
      <c r="R33" s="164">
        <f>'Input and Output'!$C$87*SUM(Workings!R22:R32)</f>
        <v>-1640.4955575832553</v>
      </c>
      <c r="S33" s="164">
        <f>'Input and Output'!$C$87*SUM(Workings!S22:S32)</f>
        <v>-1734.0038043655013</v>
      </c>
      <c r="T33" s="164">
        <f>'Input and Output'!$C$87*SUM(Workings!T22:T32)</f>
        <v>-1832.8420212143346</v>
      </c>
      <c r="U33" s="164">
        <f>'Input and Output'!$C$87*SUM(Workings!U22:U32)</f>
        <v>-1937.3140164235515</v>
      </c>
      <c r="V33" s="164">
        <f>'Input and Output'!$C$87*SUM(Workings!V22:V32)</f>
        <v>-2047.7409153596948</v>
      </c>
      <c r="W33" s="164">
        <f>'Input and Output'!$C$87*SUM(Workings!W22:W32)</f>
        <v>-2294.011684542029</v>
      </c>
      <c r="X33" s="164">
        <f>'Input and Output'!$C$87*SUM(Workings!X22:X32)</f>
        <v>-2287.836489944703</v>
      </c>
      <c r="Y33" s="164">
        <f>'Input and Output'!$C$87*SUM(Workings!Y22:Y32)</f>
        <v>-2418.2431698715513</v>
      </c>
      <c r="Z33" s="164">
        <f>'Input and Output'!$C$87*SUM(Workings!Z22:Z32)</f>
        <v>-2556.0830305542295</v>
      </c>
      <c r="AA33" s="164">
        <f>'Input and Output'!$C$87*SUM(Workings!AA22:AA32)</f>
        <v>-2701.7797632958204</v>
      </c>
      <c r="AB33" s="164">
        <f>'Input and Output'!$C$87*SUM(Workings!AB22:AB32)</f>
        <v>-2992.1809971076345</v>
      </c>
      <c r="AC33" s="164">
        <f>'Input and Output'!$C$87*SUM(Workings!AC22:AC32)</f>
        <v>-3018.560738762492</v>
      </c>
      <c r="AD33" s="164">
        <f>'Input and Output'!$C$87*SUM(Workings!AD22:AD32)</f>
        <v>-3190.6187008719544</v>
      </c>
      <c r="AE33" s="164">
        <f>'Input and Output'!$C$87*SUM(Workings!AE22:AE32)</f>
        <v>-3372.483966821655</v>
      </c>
      <c r="AF33" s="164">
        <f>'Input and Output'!$C$87*SUM(Workings!AF22:AF32)</f>
        <v>-3564.7155529304896</v>
      </c>
      <c r="AG33" s="164">
        <f>'Input and Output'!$C$87*SUM(Workings!AG22:AG32)</f>
        <v>-3767.904339447528</v>
      </c>
      <c r="AH33" s="164">
        <f>'Input and Output'!$C$87*SUM(Workings!AH22:AH32)</f>
        <v>-3982.6748867960355</v>
      </c>
      <c r="AI33" s="164">
        <f>'Input and Output'!$C$87*SUM(Workings!AI22:AI32)</f>
        <v>-4209.687355343411</v>
      </c>
      <c r="AJ33" s="164">
        <f>'Input and Output'!$C$87*SUM(Workings!AJ22:AJ32)</f>
        <v>-4449.6395345979845</v>
      </c>
      <c r="AK33" s="164">
        <f>'Input and Output'!$C$87*SUM(Workings!AK22:AK32)</f>
        <v>-4703.26898807007</v>
      </c>
      <c r="AL33" s="164">
        <f>'Input and Output'!$C$87*SUM(Workings!AL22:AL32)</f>
        <v>-5208.800614163179</v>
      </c>
      <c r="AM33" s="164"/>
      <c r="AN33" s="164"/>
      <c r="AO33" s="164"/>
      <c r="AP33" s="164"/>
      <c r="AQ33" s="164"/>
    </row>
    <row r="34" spans="1:43" s="166" customFormat="1" ht="11.25">
      <c r="A34" s="94" t="s">
        <v>185</v>
      </c>
      <c r="B34" s="86" t="s">
        <v>57</v>
      </c>
      <c r="C34" s="99">
        <f t="shared" si="3"/>
        <v>-41.17322584030686</v>
      </c>
      <c r="D34" s="164">
        <f>-IF(E44=0,0,('Input and Output'!$C$89*(1+'Input and Output'!$C$29)^Workings!D3)/1000)</f>
        <v>0</v>
      </c>
      <c r="E34" s="164">
        <f>-IF(F44=0,0,('Input and Output'!$C$89*(1+'Input and Output'!$C$29)^Workings!E3)/1000)</f>
        <v>0</v>
      </c>
      <c r="F34" s="164">
        <f>-IF(G44=0,0,('Input and Output'!$C$89*(1+'Input and Output'!$C$29)^Workings!F3)/1000)</f>
        <v>0</v>
      </c>
      <c r="G34" s="164">
        <f>-IF(H44=0,0,('Input and Output'!$C$89*(1+'Input and Output'!$C$29)^Workings!G3)/1000)</f>
        <v>0</v>
      </c>
      <c r="H34" s="164">
        <f>-IF(I44=0,0,('Input and Output'!$C$89*(1+'Input and Output'!$C$29)^Workings!H3)/1000)</f>
        <v>0</v>
      </c>
      <c r="I34" s="164">
        <f>-IF(J44=0,0,('Input and Output'!$C$89*(1+'Input and Output'!$C$29)^Workings!I3)/1000)</f>
        <v>0</v>
      </c>
      <c r="J34" s="164">
        <f>-IF(K44=0,0,('Input and Output'!$C$89*(1+'Input and Output'!$C$29)^Workings!J3)/1000)</f>
        <v>0</v>
      </c>
      <c r="K34" s="164">
        <f>-IF(L44=0,0,('Input and Output'!$C$89*(1+'Input and Output'!$C$29)^Workings!K3)/1000)</f>
        <v>0</v>
      </c>
      <c r="L34" s="164">
        <f>-IF(M44=0,0,('Input and Output'!$C$89*(1+'Input and Output'!$C$29)^Workings!L3)/1000)</f>
        <v>-41.17322584030686</v>
      </c>
      <c r="M34" s="164">
        <f>-IF(N44=0,0,('Input and Output'!$C$89*(1+'Input and Output'!$C$29)^Workings!M3)/1000)</f>
        <v>0</v>
      </c>
      <c r="N34" s="164">
        <f>-IF(O44=0,0,('Input and Output'!$C$89*(1+'Input and Output'!$C$29)^Workings!N3)/1000)</f>
        <v>0</v>
      </c>
      <c r="O34" s="164">
        <f>-IF(P44=0,0,('Input and Output'!$C$89*(1+'Input and Output'!$C$29)^Workings!O3)/1000)</f>
        <v>0</v>
      </c>
      <c r="P34" s="164">
        <f>-IF(Q44=0,0,('Input and Output'!$C$89*(1+'Input and Output'!$C$29)^Workings!P3)/1000)</f>
        <v>0</v>
      </c>
      <c r="Q34" s="164">
        <f>-IF(R44=0,0,('Input and Output'!$C$89*(1+'Input and Output'!$C$29)^Workings!Q3)/1000)</f>
        <v>0</v>
      </c>
      <c r="R34" s="164">
        <f>-IF(S44=0,0,('Input and Output'!$C$89*(1+'Input and Output'!$C$29)^Workings!R3)/1000)</f>
        <v>0</v>
      </c>
      <c r="S34" s="164">
        <f>-IF(T44=0,0,('Input and Output'!$C$89*(1+'Input and Output'!$C$29)^Workings!S3)/1000)</f>
        <v>0</v>
      </c>
      <c r="T34" s="164">
        <f>-IF(U44=0,0,('Input and Output'!$C$89*(1+'Input and Output'!$C$29)^Workings!T3)/1000)</f>
        <v>0</v>
      </c>
      <c r="U34" s="164">
        <f>-IF(V44=0,0,('Input and Output'!$C$89*(1+'Input and Output'!$C$29)^Workings!U3)/1000)</f>
        <v>0</v>
      </c>
      <c r="V34" s="164">
        <f>-IF(W44=0,0,('Input and Output'!$C$89*(1+'Input and Output'!$C$29)^Workings!V3)/1000)</f>
        <v>0</v>
      </c>
      <c r="W34" s="164">
        <f>-IF(X44=0,0,('Input and Output'!$C$89*(1+'Input and Output'!$C$29)^Workings!W3)/1000)</f>
        <v>0</v>
      </c>
      <c r="X34" s="164">
        <f>-IF(Y44=0,0,('Input and Output'!$C$89*(1+'Input and Output'!$C$29)^Workings!X3)/1000)</f>
        <v>0</v>
      </c>
      <c r="Y34" s="164">
        <f>-IF(Z44=0,0,('Input and Output'!$C$89*(1+'Input and Output'!$C$29)^Workings!Y3)/1000)</f>
        <v>0</v>
      </c>
      <c r="Z34" s="164">
        <f>-IF(AA44=0,0,('Input and Output'!$C$89*(1+'Input and Output'!$C$29)^Workings!Z3)/1000)</f>
        <v>0</v>
      </c>
      <c r="AA34" s="164">
        <f>-IF(AB44=0,0,('Input and Output'!$C$89*(1+'Input and Output'!$C$29)^Workings!AA3)/1000)</f>
        <v>0</v>
      </c>
      <c r="AB34" s="164">
        <f>-IF(AC44=0,0,('Input and Output'!$C$89*(1+'Input and Output'!$C$29)^Workings!AB3)/1000)</f>
        <v>0</v>
      </c>
      <c r="AC34" s="164">
        <f>-IF(AD44=0,0,('Input and Output'!$C$89*(1+'Input and Output'!$C$29)^Workings!AC3)/1000)</f>
        <v>0</v>
      </c>
      <c r="AD34" s="164">
        <f>-IF(AE44=0,0,('Input and Output'!$C$89*(1+'Input and Output'!$C$29)^Workings!AD3)/1000)</f>
        <v>0</v>
      </c>
      <c r="AE34" s="164">
        <f>-IF(AF44=0,0,('Input and Output'!$C$89*(1+'Input and Output'!$C$29)^Workings!AE3)/1000)</f>
        <v>0</v>
      </c>
      <c r="AF34" s="164">
        <f>-IF(AG44=0,0,('Input and Output'!$C$89*(1+'Input and Output'!$C$29)^Workings!AF3)/1000)</f>
        <v>0</v>
      </c>
      <c r="AG34" s="164">
        <f>-IF(AH44=0,0,('Input and Output'!$C$89*(1+'Input and Output'!$C$29)^Workings!AG3)/1000)</f>
        <v>0</v>
      </c>
      <c r="AH34" s="164">
        <f>-IF(AI44=0,0,('Input and Output'!$C$89*(1+'Input and Output'!$C$29)^Workings!AH3)/1000)</f>
        <v>0</v>
      </c>
      <c r="AI34" s="164">
        <f>-IF(AJ44=0,0,('Input and Output'!$C$89*(1+'Input and Output'!$C$29)^Workings!AI3)/1000)</f>
        <v>0</v>
      </c>
      <c r="AJ34" s="164">
        <f>-IF(AK44=0,0,('Input and Output'!$C$89*(1+'Input and Output'!$C$29)^Workings!AJ3)/1000)</f>
        <v>0</v>
      </c>
      <c r="AK34" s="164">
        <f>-IF(AL44=0,0,('Input and Output'!$C$89*(1+'Input and Output'!$C$29)^Workings!AK3)/1000)</f>
        <v>0</v>
      </c>
      <c r="AL34" s="164">
        <f>-IF(AM44=0,0,('Input and Output'!$C$89*(1+'Input and Output'!$C$29)^Workings!AL3)/1000)</f>
        <v>0</v>
      </c>
      <c r="AM34" s="164"/>
      <c r="AN34" s="164"/>
      <c r="AO34" s="164"/>
      <c r="AP34" s="164"/>
      <c r="AQ34" s="164"/>
    </row>
    <row r="35" spans="1:43" s="153" customFormat="1" ht="11.25">
      <c r="A35" s="94" t="s">
        <v>167</v>
      </c>
      <c r="B35" s="86" t="s">
        <v>57</v>
      </c>
      <c r="C35" s="99">
        <f t="shared" si="3"/>
        <v>-985.293940975026</v>
      </c>
      <c r="D35" s="164">
        <f>-IF(D3&lt;'Input and Output'!$C$105,0,('Input and Output'!$C$90*(1+'Input and Output'!$C$29)^Workings!D3)/1000)</f>
        <v>0</v>
      </c>
      <c r="E35" s="164">
        <f>-IF(E3&lt;'Input and Output'!$C$105,0,('Input and Output'!$C$90*(1+'Input and Output'!$C$29)^Workings!E3)/1000)</f>
        <v>0</v>
      </c>
      <c r="F35" s="164">
        <f>-IF(F3&lt;'Input and Output'!$C$105,0,('Input and Output'!$C$90*(1+'Input and Output'!$C$29)^Workings!F3)/1000)</f>
        <v>0</v>
      </c>
      <c r="G35" s="164">
        <f>-IF(G3&lt;'Input and Output'!$C$105,0,('Input and Output'!$C$90*(1+'Input and Output'!$C$29)^Workings!G3)/1000)</f>
        <v>0</v>
      </c>
      <c r="H35" s="164">
        <f>-IF(H3&lt;'Input and Output'!$C$105,0,('Input and Output'!$C$90*(1+'Input and Output'!$C$29)^Workings!H3)/1000)</f>
        <v>0</v>
      </c>
      <c r="I35" s="164">
        <f>-IF(I3&lt;'Input and Output'!$C$105,0,('Input and Output'!$C$90*(1+'Input and Output'!$C$29)^Workings!I3)/1000)</f>
        <v>0</v>
      </c>
      <c r="J35" s="164">
        <f>-IF(J3&lt;'Input and Output'!$C$105,0,('Input and Output'!$C$90*(1+'Input and Output'!$C$29)^Workings!J3)/1000)</f>
        <v>0</v>
      </c>
      <c r="K35" s="164">
        <f>-IF(K3&lt;'Input and Output'!$C$105,0,('Input and Output'!$C$90*(1+'Input and Output'!$C$29)^Workings!K3)/1000)</f>
        <v>0</v>
      </c>
      <c r="L35" s="164">
        <f>-IF(L3&lt;'Input and Output'!$C$105,0,('Input and Output'!$C$90*(1+'Input and Output'!$C$29)^Workings!L3)/1000)</f>
        <v>0</v>
      </c>
      <c r="M35" s="164">
        <f>-IF(M3&lt;'Input and Output'!$C$105,0,('Input and Output'!$C$90*(1+'Input and Output'!$C$29)^Workings!M3)/1000)</f>
        <v>-17.40803988528174</v>
      </c>
      <c r="N35" s="164">
        <f>-IF(N3&lt;'Input and Output'!$C$105,0,('Input and Output'!$C$90*(1+'Input and Output'!$C$29)^Workings!N3)/1000)</f>
        <v>-18.400298158742796</v>
      </c>
      <c r="O35" s="164">
        <f>-IF(O3&lt;'Input and Output'!$C$105,0,('Input and Output'!$C$90*(1+'Input and Output'!$C$29)^Workings!O3)/1000)</f>
        <v>-19.44911515379114</v>
      </c>
      <c r="P35" s="164">
        <f>-IF(P3&lt;'Input and Output'!$C$105,0,('Input and Output'!$C$90*(1+'Input and Output'!$C$29)^Workings!P3)/1000)</f>
        <v>-20.557714717557236</v>
      </c>
      <c r="Q35" s="164">
        <f>-IF(Q3&lt;'Input and Output'!$C$105,0,('Input and Output'!$C$90*(1+'Input and Output'!$C$29)^Workings!Q3)/1000)</f>
        <v>-21.729504456457995</v>
      </c>
      <c r="R35" s="164">
        <f>-IF(R3&lt;'Input and Output'!$C$105,0,('Input and Output'!$C$90*(1+'Input and Output'!$C$29)^Workings!R3)/1000)</f>
        <v>-22.968086210476095</v>
      </c>
      <c r="S35" s="164">
        <f>-IF(S3&lt;'Input and Output'!$C$105,0,('Input and Output'!$C$90*(1+'Input and Output'!$C$29)^Workings!S3)/1000)</f>
        <v>-24.27726712447324</v>
      </c>
      <c r="T35" s="164">
        <f>-IF(T3&lt;'Input and Output'!$C$105,0,('Input and Output'!$C$90*(1+'Input and Output'!$C$29)^Workings!T3)/1000)</f>
        <v>-25.661071350568214</v>
      </c>
      <c r="U35" s="164">
        <f>-IF(U3&lt;'Input and Output'!$C$105,0,('Input and Output'!$C$90*(1+'Input and Output'!$C$29)^Workings!U3)/1000)</f>
        <v>-27.1237524175506</v>
      </c>
      <c r="V35" s="164">
        <f>-IF(V3&lt;'Input and Output'!$C$105,0,('Input and Output'!$C$90*(1+'Input and Output'!$C$29)^Workings!V3)/1000)</f>
        <v>-28.66980630535099</v>
      </c>
      <c r="W35" s="164">
        <f>-IF(W3&lt;'Input and Output'!$C$105,0,('Input and Output'!$C$90*(1+'Input and Output'!$C$29)^Workings!W3)/1000)</f>
        <v>-30.303985264755998</v>
      </c>
      <c r="X35" s="164">
        <f>-IF(X3&lt;'Input and Output'!$C$105,0,('Input and Output'!$C$90*(1+'Input and Output'!$C$29)^Workings!X3)/1000)</f>
        <v>-32.03131242484708</v>
      </c>
      <c r="Y35" s="164">
        <f>-IF(Y3&lt;'Input and Output'!$C$105,0,('Input and Output'!$C$90*(1+'Input and Output'!$C$29)^Workings!Y3)/1000)</f>
        <v>-33.857097233063364</v>
      </c>
      <c r="Z35" s="164">
        <f>-IF(Z3&lt;'Input and Output'!$C$105,0,('Input and Output'!$C$90*(1+'Input and Output'!$C$29)^Workings!Z3)/1000)</f>
        <v>-35.78695177534797</v>
      </c>
      <c r="AA35" s="164">
        <f>-IF(AA3&lt;'Input and Output'!$C$105,0,('Input and Output'!$C$90*(1+'Input and Output'!$C$29)^Workings!AA3)/1000)</f>
        <v>-37.826808026542814</v>
      </c>
      <c r="AB35" s="164">
        <f>-IF(AB3&lt;'Input and Output'!$C$105,0,('Input and Output'!$C$90*(1+'Input and Output'!$C$29)^Workings!AB3)/1000)</f>
        <v>-39.98293608405576</v>
      </c>
      <c r="AC35" s="164">
        <f>-IF(AC3&lt;'Input and Output'!$C$105,0,('Input and Output'!$C$90*(1+'Input and Output'!$C$29)^Workings!AC3)/1000)</f>
        <v>-42.26196344084693</v>
      </c>
      <c r="AD35" s="164">
        <f>-IF(AD3&lt;'Input and Output'!$C$105,0,('Input and Output'!$C$90*(1+'Input and Output'!$C$29)^Workings!AD3)/1000)</f>
        <v>-44.67089535697521</v>
      </c>
      <c r="AE35" s="164">
        <f>-IF(AE3&lt;'Input and Output'!$C$105,0,('Input and Output'!$C$90*(1+'Input and Output'!$C$29)^Workings!AE3)/1000)</f>
        <v>-47.21713639232279</v>
      </c>
      <c r="AF35" s="164">
        <f>-IF(AF3&lt;'Input and Output'!$C$105,0,('Input and Output'!$C$90*(1+'Input and Output'!$C$29)^Workings!AF3)/1000)</f>
        <v>-49.90851316668519</v>
      </c>
      <c r="AG35" s="164">
        <f>-IF(AG3&lt;'Input and Output'!$C$105,0,('Input and Output'!$C$90*(1+'Input and Output'!$C$29)^Workings!AG3)/1000)</f>
        <v>-52.75329841718625</v>
      </c>
      <c r="AH35" s="164">
        <f>-IF(AH3&lt;'Input and Output'!$C$105,0,('Input and Output'!$C$90*(1+'Input and Output'!$C$29)^Workings!AH3)/1000)</f>
        <v>-55.76023642696585</v>
      </c>
      <c r="AI35" s="164">
        <f>-IF(AI3&lt;'Input and Output'!$C$105,0,('Input and Output'!$C$90*(1+'Input and Output'!$C$29)^Workings!AI3)/1000)</f>
        <v>-58.93856990330292</v>
      </c>
      <c r="AJ35" s="164">
        <f>-IF(AJ3&lt;'Input and Output'!$C$105,0,('Input and Output'!$C$90*(1+'Input and Output'!$C$29)^Workings!AJ3)/1000)</f>
        <v>-62.29806838779118</v>
      </c>
      <c r="AK35" s="164">
        <f>-IF(AK3&lt;'Input and Output'!$C$105,0,('Input and Output'!$C$90*(1+'Input and Output'!$C$29)^Workings!AK3)/1000)</f>
        <v>-65.84905828589528</v>
      </c>
      <c r="AL35" s="164">
        <f>-IF(AL3&lt;'Input and Output'!$C$105,0,('Input and Output'!$C$90*(1+'Input and Output'!$C$29)^Workings!AL3)/1000)</f>
        <v>-69.60245460819131</v>
      </c>
      <c r="AM35" s="164"/>
      <c r="AN35" s="164"/>
      <c r="AO35" s="164"/>
      <c r="AP35" s="164"/>
      <c r="AQ35" s="164"/>
    </row>
    <row r="36" spans="1:43" s="153" customFormat="1" ht="11.25">
      <c r="A36" s="94" t="s">
        <v>160</v>
      </c>
      <c r="B36" s="86" t="s">
        <v>57</v>
      </c>
      <c r="C36" s="99">
        <f t="shared" si="3"/>
        <v>-11052.595529975128</v>
      </c>
      <c r="D36" s="164">
        <f>-IF('Input and Output'!$C$128='Input and Output'!$A$213,(('Input and Output'!$C$36*'Input and Output'!$C$91)*(1+'Input and Output'!$C$29)^Workings!D3)/1000,0)</f>
        <v>-105.7</v>
      </c>
      <c r="E36" s="164">
        <f>-IF('Input and Output'!$C$128='Input and Output'!$A$213,(('Input and Output'!$C$36*'Input and Output'!$C$91)*(1+'Input and Output'!$C$29)^Workings!E3)/1000,0)</f>
        <v>-111.72489999999999</v>
      </c>
      <c r="F36" s="164">
        <f>-IF('Input and Output'!$C$128='Input and Output'!$A$213,(('Input and Output'!$C$36*'Input and Output'!$C$91)*(1+'Input and Output'!$C$29)^Workings!F3)/1000,0)</f>
        <v>-118.09321929999999</v>
      </c>
      <c r="G36" s="164">
        <f>-IF('Input and Output'!$C$128='Input and Output'!$A$213,(('Input and Output'!$C$36*'Input and Output'!$C$91)*(1+'Input and Output'!$C$29)^Workings!G3)/1000,0)</f>
        <v>-124.8245328001</v>
      </c>
      <c r="H36" s="164">
        <f>-IF('Input and Output'!$C$128='Input and Output'!$A$213,(('Input and Output'!$C$36*'Input and Output'!$C$91)*(1+'Input and Output'!$C$29)^Workings!H3)/1000,0)</f>
        <v>-131.9395311697057</v>
      </c>
      <c r="I36" s="164">
        <f>-IF('Input and Output'!$C$128='Input and Output'!$A$213,(('Input and Output'!$C$36*'Input and Output'!$C$91)*(1+'Input and Output'!$C$29)^Workings!I3)/1000,0)</f>
        <v>-139.46008444637891</v>
      </c>
      <c r="J36" s="164">
        <f>-IF('Input and Output'!$C$128='Input and Output'!$A$213,(('Input and Output'!$C$36*'Input and Output'!$C$91)*(1+'Input and Output'!$C$29)^Workings!J3)/1000,0)</f>
        <v>-147.4093092598225</v>
      </c>
      <c r="K36" s="164">
        <f>-IF('Input and Output'!$C$128='Input and Output'!$A$213,(('Input and Output'!$C$36*'Input and Output'!$C$91)*(1+'Input and Output'!$C$29)^Workings!K3)/1000,0)</f>
        <v>-155.8116398876324</v>
      </c>
      <c r="L36" s="164">
        <f>-IF('Input and Output'!$C$128='Input and Output'!$A$213,(('Input and Output'!$C$36*'Input and Output'!$C$91)*(1+'Input and Output'!$C$29)^Workings!L3)/1000,0)</f>
        <v>-164.69290336122745</v>
      </c>
      <c r="M36" s="164">
        <f>-IF('Input and Output'!$C$128='Input and Output'!$A$213,(('Input and Output'!$C$36*'Input and Output'!$C$91)*(1+'Input and Output'!$C$29)^Workings!M3)/1000,0)</f>
        <v>-174.08039885281738</v>
      </c>
      <c r="N36" s="164">
        <f>-IF('Input and Output'!$C$128='Input and Output'!$A$213,(('Input and Output'!$C$36*'Input and Output'!$C$91)*(1+'Input and Output'!$C$29)^Workings!N3)/1000,0)</f>
        <v>-184.002981587428</v>
      </c>
      <c r="O36" s="164">
        <f>-IF('Input and Output'!$C$128='Input and Output'!$A$213,(('Input and Output'!$C$36*'Input and Output'!$C$91)*(1+'Input and Output'!$C$29)^Workings!O3)/1000,0)</f>
        <v>-194.49115153791138</v>
      </c>
      <c r="P36" s="164">
        <f>-IF('Input and Output'!$C$128='Input and Output'!$A$213,(('Input and Output'!$C$36*'Input and Output'!$C$91)*(1+'Input and Output'!$C$29)^Workings!P3)/1000,0)</f>
        <v>-205.57714717557235</v>
      </c>
      <c r="Q36" s="164">
        <f>-IF('Input and Output'!$C$128='Input and Output'!$A$213,(('Input and Output'!$C$36*'Input and Output'!$C$91)*(1+'Input and Output'!$C$29)^Workings!Q3)/1000,0)</f>
        <v>-217.29504456457997</v>
      </c>
      <c r="R36" s="164">
        <f>-IF('Input and Output'!$C$128='Input and Output'!$A$213,(('Input and Output'!$C$36*'Input and Output'!$C$91)*(1+'Input and Output'!$C$29)^Workings!R3)/1000,0)</f>
        <v>-229.680862104761</v>
      </c>
      <c r="S36" s="164">
        <f>-IF('Input and Output'!$C$128='Input and Output'!$A$213,(('Input and Output'!$C$36*'Input and Output'!$C$91)*(1+'Input and Output'!$C$29)^Workings!S3)/1000,0)</f>
        <v>-242.7726712447324</v>
      </c>
      <c r="T36" s="164">
        <f>-IF('Input and Output'!$C$128='Input and Output'!$A$213,(('Input and Output'!$C$36*'Input and Output'!$C$91)*(1+'Input and Output'!$C$29)^Workings!T3)/1000,0)</f>
        <v>-256.61071350568216</v>
      </c>
      <c r="U36" s="164">
        <f>-IF('Input and Output'!$C$128='Input and Output'!$A$213,(('Input and Output'!$C$36*'Input and Output'!$C$91)*(1+'Input and Output'!$C$29)^Workings!U3)/1000,0)</f>
        <v>-271.23752417550605</v>
      </c>
      <c r="V36" s="164">
        <f>-IF('Input and Output'!$C$128='Input and Output'!$A$213,(('Input and Output'!$C$36*'Input and Output'!$C$91)*(1+'Input and Output'!$C$29)^Workings!V3)/1000,0)</f>
        <v>-286.6980630535099</v>
      </c>
      <c r="W36" s="164">
        <f>-IF('Input and Output'!$C$128='Input and Output'!$A$213,(('Input and Output'!$C$36*'Input and Output'!$C$91)*(1+'Input and Output'!$C$29)^Workings!W3)/1000,0)</f>
        <v>-303.03985264755994</v>
      </c>
      <c r="X36" s="164">
        <f>-IF('Input and Output'!$C$128='Input and Output'!$A$213,(('Input and Output'!$C$36*'Input and Output'!$C$91)*(1+'Input and Output'!$C$29)^Workings!X3)/1000,0)</f>
        <v>-320.31312424847084</v>
      </c>
      <c r="Y36" s="164">
        <f>-IF('Input and Output'!$C$128='Input and Output'!$A$213,(('Input and Output'!$C$36*'Input and Output'!$C$91)*(1+'Input and Output'!$C$29)^Workings!Y3)/1000,0)</f>
        <v>-338.57097233063365</v>
      </c>
      <c r="Z36" s="164">
        <f>-IF('Input and Output'!$C$128='Input and Output'!$A$213,(('Input and Output'!$C$36*'Input and Output'!$C$91)*(1+'Input and Output'!$C$29)^Workings!Z3)/1000,0)</f>
        <v>-357.8695177534798</v>
      </c>
      <c r="AA36" s="164">
        <f>-IF('Input and Output'!$C$128='Input and Output'!$A$213,(('Input and Output'!$C$36*'Input and Output'!$C$91)*(1+'Input and Output'!$C$29)^Workings!AA3)/1000,0)</f>
        <v>-378.2680802654282</v>
      </c>
      <c r="AB36" s="164">
        <f>-IF('Input and Output'!$C$128='Input and Output'!$A$213,(('Input and Output'!$C$36*'Input and Output'!$C$91)*(1+'Input and Output'!$C$29)^Workings!AB3)/1000,0)</f>
        <v>-399.82936084055757</v>
      </c>
      <c r="AC36" s="164">
        <f>-IF('Input and Output'!$C$128='Input and Output'!$A$213,(('Input and Output'!$C$36*'Input and Output'!$C$91)*(1+'Input and Output'!$C$29)^Workings!AC3)/1000,0)</f>
        <v>-422.6196344084693</v>
      </c>
      <c r="AD36" s="164">
        <f>-IF('Input and Output'!$C$128='Input and Output'!$A$213,(('Input and Output'!$C$36*'Input and Output'!$C$91)*(1+'Input and Output'!$C$29)^Workings!AD3)/1000,0)</f>
        <v>-446.70895356975205</v>
      </c>
      <c r="AE36" s="164">
        <f>-IF('Input and Output'!$C$128='Input and Output'!$A$213,(('Input and Output'!$C$36*'Input and Output'!$C$91)*(1+'Input and Output'!$C$29)^Workings!AE3)/1000,0)</f>
        <v>-472.1713639232279</v>
      </c>
      <c r="AF36" s="164">
        <f>-IF('Input and Output'!$C$128='Input and Output'!$A$213,(('Input and Output'!$C$36*'Input and Output'!$C$91)*(1+'Input and Output'!$C$29)^Workings!AF3)/1000,0)</f>
        <v>-499.0851316668519</v>
      </c>
      <c r="AG36" s="164">
        <f>-IF('Input and Output'!$C$128='Input and Output'!$A$213,(('Input and Output'!$C$36*'Input and Output'!$C$91)*(1+'Input and Output'!$C$29)^Workings!AG3)/1000,0)</f>
        <v>-527.5329841718625</v>
      </c>
      <c r="AH36" s="164">
        <f>-IF('Input and Output'!$C$128='Input and Output'!$A$213,(('Input and Output'!$C$36*'Input and Output'!$C$91)*(1+'Input and Output'!$C$29)^Workings!AH3)/1000,0)</f>
        <v>-557.6023642696584</v>
      </c>
      <c r="AI36" s="164">
        <f>-IF('Input and Output'!$C$128='Input and Output'!$A$213,(('Input and Output'!$C$36*'Input and Output'!$C$91)*(1+'Input and Output'!$C$29)^Workings!AI3)/1000,0)</f>
        <v>-589.3856990330291</v>
      </c>
      <c r="AJ36" s="164">
        <f>-IF('Input and Output'!$C$128='Input and Output'!$A$213,(('Input and Output'!$C$36*'Input and Output'!$C$91)*(1+'Input and Output'!$C$29)^Workings!AJ3)/1000,0)</f>
        <v>-622.9806838779118</v>
      </c>
      <c r="AK36" s="164">
        <f>-IF('Input and Output'!$C$128='Input and Output'!$A$213,(('Input and Output'!$C$36*'Input and Output'!$C$91)*(1+'Input and Output'!$C$29)^Workings!AK3)/1000,0)</f>
        <v>-658.4905828589528</v>
      </c>
      <c r="AL36" s="164">
        <f>-IF('Input and Output'!$C$128='Input and Output'!$A$213,(('Input and Output'!$C$36*'Input and Output'!$C$91)*(1+'Input and Output'!$C$29)^Workings!AL3)/1000,0)</f>
        <v>-696.0245460819131</v>
      </c>
      <c r="AM36" s="164"/>
      <c r="AN36" s="164"/>
      <c r="AO36" s="164"/>
      <c r="AP36" s="164"/>
      <c r="AQ36" s="164"/>
    </row>
    <row r="37" spans="1:43" s="153" customFormat="1" ht="11.25">
      <c r="A37" s="94" t="s">
        <v>161</v>
      </c>
      <c r="B37" s="86" t="s">
        <v>57</v>
      </c>
      <c r="C37" s="99">
        <f t="shared" si="3"/>
        <v>-22105.191059950255</v>
      </c>
      <c r="D37" s="164">
        <f>-IF('Input and Output'!$C$128='Input and Output'!$A$213,(('Input and Output'!$C$36*'Input and Output'!$C$92)*(1+'Input and Output'!$C$29)^Workings!D3)/1000,0)</f>
        <v>-211.4</v>
      </c>
      <c r="E37" s="164">
        <f>-IF('Input and Output'!$C$128='Input and Output'!$A$213,(('Input and Output'!$C$36*'Input and Output'!$C$92)*(1+'Input and Output'!$C$29)^Workings!E3)/1000,0)</f>
        <v>-223.44979999999998</v>
      </c>
      <c r="F37" s="164">
        <f>-IF('Input and Output'!$C$128='Input and Output'!$A$213,(('Input and Output'!$C$36*'Input and Output'!$C$92)*(1+'Input and Output'!$C$29)^Workings!F3)/1000,0)</f>
        <v>-236.18643859999997</v>
      </c>
      <c r="G37" s="164">
        <f>-IF('Input and Output'!$C$128='Input and Output'!$A$213,(('Input and Output'!$C$36*'Input and Output'!$C$92)*(1+'Input and Output'!$C$29)^Workings!G3)/1000,0)</f>
        <v>-249.6490656002</v>
      </c>
      <c r="H37" s="164">
        <f>-IF('Input and Output'!$C$128='Input and Output'!$A$213,(('Input and Output'!$C$36*'Input and Output'!$C$92)*(1+'Input and Output'!$C$29)^Workings!H3)/1000,0)</f>
        <v>-263.8790623394114</v>
      </c>
      <c r="I37" s="164">
        <f>-IF('Input and Output'!$C$128='Input and Output'!$A$213,(('Input and Output'!$C$36*'Input and Output'!$C$92)*(1+'Input and Output'!$C$29)^Workings!I3)/1000,0)</f>
        <v>-278.92016889275783</v>
      </c>
      <c r="J37" s="164">
        <f>-IF('Input and Output'!$C$128='Input and Output'!$A$213,(('Input and Output'!$C$36*'Input and Output'!$C$92)*(1+'Input and Output'!$C$29)^Workings!J3)/1000,0)</f>
        <v>-294.818618519645</v>
      </c>
      <c r="K37" s="164">
        <f>-IF('Input and Output'!$C$128='Input and Output'!$A$213,(('Input and Output'!$C$36*'Input and Output'!$C$92)*(1+'Input and Output'!$C$29)^Workings!K3)/1000,0)</f>
        <v>-311.6232797752648</v>
      </c>
      <c r="L37" s="164">
        <f>-IF('Input and Output'!$C$128='Input and Output'!$A$213,(('Input and Output'!$C$36*'Input and Output'!$C$92)*(1+'Input and Output'!$C$29)^Workings!L3)/1000,0)</f>
        <v>-329.3858067224549</v>
      </c>
      <c r="M37" s="164">
        <f>-IF('Input and Output'!$C$128='Input and Output'!$A$213,(('Input and Output'!$C$36*'Input and Output'!$C$92)*(1+'Input and Output'!$C$29)^Workings!M3)/1000,0)</f>
        <v>-348.16079770563476</v>
      </c>
      <c r="N37" s="164">
        <f>-IF('Input and Output'!$C$128='Input and Output'!$A$213,(('Input and Output'!$C$36*'Input and Output'!$C$92)*(1+'Input and Output'!$C$29)^Workings!N3)/1000,0)</f>
        <v>-368.005963174856</v>
      </c>
      <c r="O37" s="164">
        <f>-IF('Input and Output'!$C$128='Input and Output'!$A$213,(('Input and Output'!$C$36*'Input and Output'!$C$92)*(1+'Input and Output'!$C$29)^Workings!O3)/1000,0)</f>
        <v>-388.98230307582276</v>
      </c>
      <c r="P37" s="164">
        <f>-IF('Input and Output'!$C$128='Input and Output'!$A$213,(('Input and Output'!$C$36*'Input and Output'!$C$92)*(1+'Input and Output'!$C$29)^Workings!P3)/1000,0)</f>
        <v>-411.1542943511447</v>
      </c>
      <c r="Q37" s="164">
        <f>-IF('Input and Output'!$C$128='Input and Output'!$A$213,(('Input and Output'!$C$36*'Input and Output'!$C$92)*(1+'Input and Output'!$C$29)^Workings!Q3)/1000,0)</f>
        <v>-434.59008912915994</v>
      </c>
      <c r="R37" s="164">
        <f>-IF('Input and Output'!$C$128='Input and Output'!$A$213,(('Input and Output'!$C$36*'Input and Output'!$C$92)*(1+'Input and Output'!$C$29)^Workings!R3)/1000,0)</f>
        <v>-459.361724209522</v>
      </c>
      <c r="S37" s="164">
        <f>-IF('Input and Output'!$C$128='Input and Output'!$A$213,(('Input and Output'!$C$36*'Input and Output'!$C$92)*(1+'Input and Output'!$C$29)^Workings!S3)/1000,0)</f>
        <v>-485.5453424894648</v>
      </c>
      <c r="T37" s="164">
        <f>-IF('Input and Output'!$C$128='Input and Output'!$A$213,(('Input and Output'!$C$36*'Input and Output'!$C$92)*(1+'Input and Output'!$C$29)^Workings!T3)/1000,0)</f>
        <v>-513.2214270113643</v>
      </c>
      <c r="U37" s="164">
        <f>-IF('Input and Output'!$C$128='Input and Output'!$A$213,(('Input and Output'!$C$36*'Input and Output'!$C$92)*(1+'Input and Output'!$C$29)^Workings!U3)/1000,0)</f>
        <v>-542.4750483510121</v>
      </c>
      <c r="V37" s="164">
        <f>-IF('Input and Output'!$C$128='Input and Output'!$A$213,(('Input and Output'!$C$36*'Input and Output'!$C$92)*(1+'Input and Output'!$C$29)^Workings!V3)/1000,0)</f>
        <v>-573.3961261070198</v>
      </c>
      <c r="W37" s="164">
        <f>-IF('Input and Output'!$C$128='Input and Output'!$A$213,(('Input and Output'!$C$36*'Input and Output'!$C$92)*(1+'Input and Output'!$C$29)^Workings!W3)/1000,0)</f>
        <v>-606.0797052951199</v>
      </c>
      <c r="X37" s="164">
        <f>-IF('Input and Output'!$C$128='Input and Output'!$A$213,(('Input and Output'!$C$36*'Input and Output'!$C$92)*(1+'Input and Output'!$C$29)^Workings!X3)/1000,0)</f>
        <v>-640.6262484969417</v>
      </c>
      <c r="Y37" s="164">
        <f>-IF('Input and Output'!$C$128='Input and Output'!$A$213,(('Input and Output'!$C$36*'Input and Output'!$C$92)*(1+'Input and Output'!$C$29)^Workings!Y3)/1000,0)</f>
        <v>-677.1419446612673</v>
      </c>
      <c r="Z37" s="164">
        <f>-IF('Input and Output'!$C$128='Input and Output'!$A$213,(('Input and Output'!$C$36*'Input and Output'!$C$92)*(1+'Input and Output'!$C$29)^Workings!Z3)/1000,0)</f>
        <v>-715.7390355069596</v>
      </c>
      <c r="AA37" s="164">
        <f>-IF('Input and Output'!$C$128='Input and Output'!$A$213,(('Input and Output'!$C$36*'Input and Output'!$C$92)*(1+'Input and Output'!$C$29)^Workings!AA3)/1000,0)</f>
        <v>-756.5361605308564</v>
      </c>
      <c r="AB37" s="164">
        <f>-IF('Input and Output'!$C$128='Input and Output'!$A$213,(('Input and Output'!$C$36*'Input and Output'!$C$92)*(1+'Input and Output'!$C$29)^Workings!AB3)/1000,0)</f>
        <v>-799.6587216811151</v>
      </c>
      <c r="AC37" s="164">
        <f>-IF('Input and Output'!$C$128='Input and Output'!$A$213,(('Input and Output'!$C$36*'Input and Output'!$C$92)*(1+'Input and Output'!$C$29)^Workings!AC3)/1000,0)</f>
        <v>-845.2392688169386</v>
      </c>
      <c r="AD37" s="164">
        <f>-IF('Input and Output'!$C$128='Input and Output'!$A$213,(('Input and Output'!$C$36*'Input and Output'!$C$92)*(1+'Input and Output'!$C$29)^Workings!AD3)/1000,0)</f>
        <v>-893.4179071395041</v>
      </c>
      <c r="AE37" s="164">
        <f>-IF('Input and Output'!$C$128='Input and Output'!$A$213,(('Input and Output'!$C$36*'Input and Output'!$C$92)*(1+'Input and Output'!$C$29)^Workings!AE3)/1000,0)</f>
        <v>-944.3427278464558</v>
      </c>
      <c r="AF37" s="164">
        <f>-IF('Input and Output'!$C$128='Input and Output'!$A$213,(('Input and Output'!$C$36*'Input and Output'!$C$92)*(1+'Input and Output'!$C$29)^Workings!AF3)/1000,0)</f>
        <v>-998.1702633337038</v>
      </c>
      <c r="AG37" s="164">
        <f>-IF('Input and Output'!$C$128='Input and Output'!$A$213,(('Input and Output'!$C$36*'Input and Output'!$C$92)*(1+'Input and Output'!$C$29)^Workings!AG3)/1000,0)</f>
        <v>-1055.065968343725</v>
      </c>
      <c r="AH37" s="164">
        <f>-IF('Input and Output'!$C$128='Input and Output'!$A$213,(('Input and Output'!$C$36*'Input and Output'!$C$92)*(1+'Input and Output'!$C$29)^Workings!AH3)/1000,0)</f>
        <v>-1115.2047285393169</v>
      </c>
      <c r="AI37" s="164">
        <f>-IF('Input and Output'!$C$128='Input and Output'!$A$213,(('Input and Output'!$C$36*'Input and Output'!$C$92)*(1+'Input and Output'!$C$29)^Workings!AI3)/1000,0)</f>
        <v>-1178.7713980660583</v>
      </c>
      <c r="AJ37" s="164">
        <f>-IF('Input and Output'!$C$128='Input and Output'!$A$213,(('Input and Output'!$C$36*'Input and Output'!$C$92)*(1+'Input and Output'!$C$29)^Workings!AJ3)/1000,0)</f>
        <v>-1245.9613677558236</v>
      </c>
      <c r="AK37" s="164">
        <f>-IF('Input and Output'!$C$128='Input and Output'!$A$213,(('Input and Output'!$C$36*'Input and Output'!$C$92)*(1+'Input and Output'!$C$29)^Workings!AK3)/1000,0)</f>
        <v>-1316.9811657179057</v>
      </c>
      <c r="AL37" s="164">
        <f>-IF('Input and Output'!$C$128='Input and Output'!$A$213,(('Input and Output'!$C$36*'Input and Output'!$C$92)*(1+'Input and Output'!$C$29)^Workings!AL3)/1000,0)</f>
        <v>-1392.0490921638261</v>
      </c>
      <c r="AM37" s="164"/>
      <c r="AN37" s="164"/>
      <c r="AO37" s="164"/>
      <c r="AP37" s="164"/>
      <c r="AQ37" s="164"/>
    </row>
    <row r="38" spans="1:43" s="153" customFormat="1" ht="11.25">
      <c r="A38" s="94"/>
      <c r="B38" s="94"/>
      <c r="C38" s="9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row>
    <row r="39" spans="1:43" s="166" customFormat="1" ht="11.25">
      <c r="A39" s="101" t="s">
        <v>64</v>
      </c>
      <c r="B39" s="102" t="s">
        <v>57</v>
      </c>
      <c r="C39" s="103">
        <f>SUM(D39:AQ39)</f>
        <v>-4019060.5618060976</v>
      </c>
      <c r="D39" s="167">
        <f aca="true" t="shared" si="4" ref="D39:AB39">SUM(D22:D37)</f>
        <v>-1085.27475</v>
      </c>
      <c r="E39" s="167">
        <f t="shared" si="4"/>
        <v>-24128.947340749997</v>
      </c>
      <c r="F39" s="167">
        <f t="shared" si="4"/>
        <v>-19280.78468206275</v>
      </c>
      <c r="G39" s="167">
        <f t="shared" si="4"/>
        <v>-20379.789408940323</v>
      </c>
      <c r="H39" s="167">
        <f t="shared" si="4"/>
        <v>-55186.01785352487</v>
      </c>
      <c r="I39" s="167">
        <f t="shared" si="4"/>
        <v>-58331.62087117579</v>
      </c>
      <c r="J39" s="167">
        <f t="shared" si="4"/>
        <v>-61656.5232608328</v>
      </c>
      <c r="K39" s="167">
        <f t="shared" si="4"/>
        <v>-65170.94508670029</v>
      </c>
      <c r="L39" s="167">
        <f t="shared" si="4"/>
        <v>-60527.5241110599</v>
      </c>
      <c r="M39" s="167">
        <f t="shared" si="4"/>
        <v>-71941.77123290674</v>
      </c>
      <c r="N39" s="167">
        <f t="shared" si="4"/>
        <v>-67596.71533831944</v>
      </c>
      <c r="O39" s="167">
        <f t="shared" si="4"/>
        <v>-71449.72811260367</v>
      </c>
      <c r="P39" s="167">
        <f t="shared" si="4"/>
        <v>-75522.36261502207</v>
      </c>
      <c r="Q39" s="167">
        <f t="shared" si="4"/>
        <v>-79827.13728407832</v>
      </c>
      <c r="R39" s="167">
        <f t="shared" si="4"/>
        <v>-84377.28410927078</v>
      </c>
      <c r="S39" s="167">
        <f t="shared" si="4"/>
        <v>-89186.78930349924</v>
      </c>
      <c r="T39" s="167">
        <f t="shared" si="4"/>
        <v>-94270.43629379867</v>
      </c>
      <c r="U39" s="167">
        <f t="shared" si="4"/>
        <v>-99643.8511625452</v>
      </c>
      <c r="V39" s="167">
        <f t="shared" si="4"/>
        <v>-105323.55067881031</v>
      </c>
      <c r="W39" s="167">
        <f t="shared" si="4"/>
        <v>-117934.0194548509</v>
      </c>
      <c r="X39" s="167">
        <f t="shared" si="4"/>
        <v>-117672.63167235011</v>
      </c>
      <c r="Y39" s="167">
        <f t="shared" si="4"/>
        <v>-124379.97167767408</v>
      </c>
      <c r="Z39" s="167">
        <f t="shared" si="4"/>
        <v>-131469.63006330148</v>
      </c>
      <c r="AA39" s="167">
        <f t="shared" si="4"/>
        <v>-138963.39897690967</v>
      </c>
      <c r="AB39" s="167">
        <f t="shared" si="4"/>
        <v>-153840.70187109508</v>
      </c>
      <c r="AC39" s="167">
        <f aca="true" t="shared" si="5" ref="AC39:AL39">SUM(AC22:AC37)</f>
        <v>-155256.71854355335</v>
      </c>
      <c r="AD39" s="167">
        <f t="shared" si="5"/>
        <v>-164106.35150053588</v>
      </c>
      <c r="AE39" s="167">
        <f t="shared" si="5"/>
        <v>-173460.41353606642</v>
      </c>
      <c r="AF39" s="167">
        <f t="shared" si="5"/>
        <v>-183347.65710762222</v>
      </c>
      <c r="AG39" s="167">
        <f t="shared" si="5"/>
        <v>-193798.4735627567</v>
      </c>
      <c r="AH39" s="167">
        <f t="shared" si="5"/>
        <v>-204844.98655583375</v>
      </c>
      <c r="AI39" s="167">
        <f t="shared" si="5"/>
        <v>-216521.15078951634</v>
      </c>
      <c r="AJ39" s="167">
        <f t="shared" si="5"/>
        <v>-228862.85638451876</v>
      </c>
      <c r="AK39" s="167">
        <f t="shared" si="5"/>
        <v>-241908.03919843634</v>
      </c>
      <c r="AL39" s="167">
        <f t="shared" si="5"/>
        <v>-267806.507415176</v>
      </c>
      <c r="AM39" s="167"/>
      <c r="AN39" s="167"/>
      <c r="AO39" s="167"/>
      <c r="AP39" s="167"/>
      <c r="AQ39" s="167"/>
    </row>
    <row r="40" spans="1:33" s="153" customFormat="1" ht="11.25">
      <c r="A40" s="94"/>
      <c r="B40" s="94"/>
      <c r="C40" s="104"/>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row>
    <row r="41" spans="1:43" s="172" customFormat="1" ht="11.25">
      <c r="A41" s="96" t="s">
        <v>60</v>
      </c>
      <c r="B41" s="96"/>
      <c r="C41" s="105"/>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row>
    <row r="42" spans="1:43" s="153" customFormat="1" ht="11.25">
      <c r="A42" s="94" t="s">
        <v>125</v>
      </c>
      <c r="B42" s="86" t="s">
        <v>57</v>
      </c>
      <c r="C42" s="99">
        <f>SUM(D42:AQ42)</f>
        <v>125000</v>
      </c>
      <c r="D42" s="165">
        <f>IF('Input and Output'!$C$33='Input and Output'!$A$217,IF(Workings!D3='Input and Output'!$C$25,('Input and Output'!$C$36*'Input and Output'!$C$37)/1000,0),0)</f>
        <v>0</v>
      </c>
      <c r="E42" s="165">
        <f>IF('Input and Output'!$C$33='Input and Output'!$A$217,IF(Workings!E3='Input and Output'!$C$25,('Input and Output'!$C$36*'Input and Output'!$C$37)/1000,0),0)</f>
        <v>0</v>
      </c>
      <c r="F42" s="165">
        <f>IF('Input and Output'!$C$33='Input and Output'!$A$217,IF(Workings!F3='Input and Output'!$C$25,('Input and Output'!$C$36*'Input and Output'!$C$37)/1000,0),0)</f>
        <v>0</v>
      </c>
      <c r="G42" s="165">
        <f>IF('Input and Output'!$C$33='Input and Output'!$A$217,IF(Workings!G3='Input and Output'!$C$25,('Input and Output'!$C$36*'Input and Output'!$C$37)/1000,0),0)</f>
        <v>0</v>
      </c>
      <c r="H42" s="165">
        <f>IF('Input and Output'!$C$33='Input and Output'!$A$217,IF(Workings!H3='Input and Output'!$C$25,('Input and Output'!$C$36*'Input and Output'!$C$37)/1000,0),0)</f>
        <v>0</v>
      </c>
      <c r="I42" s="165">
        <f>IF('Input and Output'!$C$33='Input and Output'!$A$217,IF(Workings!I3='Input and Output'!$C$25,('Input and Output'!$C$36*'Input and Output'!$C$37)/1000,0),0)</f>
        <v>0</v>
      </c>
      <c r="J42" s="165">
        <f>IF('Input and Output'!$C$33='Input and Output'!$A$217,IF(Workings!J3='Input and Output'!$C$25,('Input and Output'!$C$36*'Input and Output'!$C$37)/1000,0),0)</f>
        <v>0</v>
      </c>
      <c r="K42" s="165">
        <f>IF('Input and Output'!$C$33='Input and Output'!$A$217,IF(Workings!K3='Input and Output'!$C$25,('Input and Output'!$C$36*'Input and Output'!$C$37)/1000,0),0)</f>
        <v>0</v>
      </c>
      <c r="L42" s="165">
        <f>IF('Input and Output'!$C$33='Input and Output'!$A$217,IF(Workings!L3='Input and Output'!$C$25,('Input and Output'!$C$36*'Input and Output'!$C$37)/1000,0),0)</f>
        <v>0</v>
      </c>
      <c r="M42" s="165">
        <f>IF('Input and Output'!$C$33='Input and Output'!$A$217,IF(Workings!M3='Input and Output'!$C$25,('Input and Output'!$C$36*'Input and Output'!$C$37)/1000,0),0)</f>
        <v>0</v>
      </c>
      <c r="N42" s="165">
        <f>IF('Input and Output'!$C$33='Input and Output'!$A$217,IF(Workings!N3='Input and Output'!$C$25,('Input and Output'!$C$36*'Input and Output'!$C$37)/1000,0),0)</f>
        <v>0</v>
      </c>
      <c r="O42" s="165">
        <f>IF('Input and Output'!$C$33='Input and Output'!$A$217,IF(Workings!O3='Input and Output'!$C$25,('Input and Output'!$C$36*'Input and Output'!$C$37)/1000,0),0)</f>
        <v>0</v>
      </c>
      <c r="P42" s="165">
        <f>IF('Input and Output'!$C$33='Input and Output'!$A$217,IF(Workings!P3='Input and Output'!$C$25,('Input and Output'!$C$36*'Input and Output'!$C$37)/1000,0),0)</f>
        <v>0</v>
      </c>
      <c r="Q42" s="165">
        <f>IF('Input and Output'!$C$33='Input and Output'!$A$217,IF(Workings!Q3='Input and Output'!$C$25,('Input and Output'!$C$36*'Input and Output'!$C$37)/1000,0),0)</f>
        <v>0</v>
      </c>
      <c r="R42" s="165">
        <f>IF('Input and Output'!$C$33='Input and Output'!$A$217,IF(Workings!R3='Input and Output'!$C$25,('Input and Output'!$C$36*'Input and Output'!$C$37)/1000,0),0)</f>
        <v>0</v>
      </c>
      <c r="S42" s="165">
        <f>IF('Input and Output'!$C$33='Input and Output'!$A$217,IF(Workings!S3='Input and Output'!$C$25,('Input and Output'!$C$36*'Input and Output'!$C$37)/1000,0),0)</f>
        <v>0</v>
      </c>
      <c r="T42" s="165">
        <f>IF('Input and Output'!$C$33='Input and Output'!$A$217,IF(Workings!T3='Input and Output'!$C$25,('Input and Output'!$C$36*'Input and Output'!$C$37)/1000,0),0)</f>
        <v>0</v>
      </c>
      <c r="U42" s="165">
        <f>IF('Input and Output'!$C$33='Input and Output'!$A$217,IF(Workings!U3='Input and Output'!$C$25,('Input and Output'!$C$36*'Input and Output'!$C$37)/1000,0),0)</f>
        <v>0</v>
      </c>
      <c r="V42" s="165">
        <f>IF('Input and Output'!$C$33='Input and Output'!$A$217,IF(Workings!V3='Input and Output'!$C$25,('Input and Output'!$C$36*'Input and Output'!$C$37)/1000,0),0)</f>
        <v>0</v>
      </c>
      <c r="W42" s="165">
        <f>IF('Input and Output'!$C$33='Input and Output'!$A$217,IF(Workings!W3='Input and Output'!$C$25,('Input and Output'!$C$36*'Input and Output'!$C$37)/1000,0),0)</f>
        <v>0</v>
      </c>
      <c r="X42" s="165">
        <f>IF('Input and Output'!$C$33='Input and Output'!$A$217,IF(Workings!X3='Input and Output'!$C$25,('Input and Output'!$C$36*'Input and Output'!$C$37)/1000,0),0)</f>
        <v>0</v>
      </c>
      <c r="Y42" s="165">
        <f>IF('Input and Output'!$C$33='Input and Output'!$A$217,IF(Workings!Y3='Input and Output'!$C$25,('Input and Output'!$C$36*'Input and Output'!$C$37)/1000,0),0)</f>
        <v>0</v>
      </c>
      <c r="Z42" s="165">
        <f>IF('Input and Output'!$C$33='Input and Output'!$A$217,IF(Workings!Z3='Input and Output'!$C$25,('Input and Output'!$C$36*'Input and Output'!$C$37)/1000,0),0)</f>
        <v>0</v>
      </c>
      <c r="AA42" s="165">
        <f>IF('Input and Output'!$C$33='Input and Output'!$A$217,IF(Workings!AA3='Input and Output'!$C$25,('Input and Output'!$C$36*'Input and Output'!$C$37)/1000,0),0)</f>
        <v>0</v>
      </c>
      <c r="AB42" s="165">
        <f>IF('Input and Output'!$C$33='Input and Output'!$A$217,IF(Workings!AB3='Input and Output'!$C$25,('Input and Output'!$C$36*'Input and Output'!$C$37)/1000,0),0)</f>
        <v>0</v>
      </c>
      <c r="AC42" s="165">
        <f>IF('Input and Output'!$C$33='Input and Output'!$A$217,IF(Workings!AC3='Input and Output'!$C$25,('Input and Output'!$C$36*'Input and Output'!$C$37)/1000,0),0)</f>
        <v>0</v>
      </c>
      <c r="AD42" s="165">
        <f>IF('Input and Output'!$C$33='Input and Output'!$A$217,IF(Workings!AD3='Input and Output'!$C$25,('Input and Output'!$C$36*'Input and Output'!$C$37)/1000,0),0)</f>
        <v>0</v>
      </c>
      <c r="AE42" s="165">
        <f>IF('Input and Output'!$C$33='Input and Output'!$A$217,IF(Workings!AE3='Input and Output'!$C$25,('Input and Output'!$C$36*'Input and Output'!$C$37)/1000,0),0)</f>
        <v>0</v>
      </c>
      <c r="AF42" s="165">
        <f>IF('Input and Output'!$C$33='Input and Output'!$A$217,IF(Workings!AF3='Input and Output'!$C$25,('Input and Output'!$C$36*'Input and Output'!$C$37)/1000,0),0)</f>
        <v>0</v>
      </c>
      <c r="AG42" s="165">
        <f>IF('Input and Output'!$C$33='Input and Output'!$A$217,IF(Workings!AG3='Input and Output'!$C$25,('Input and Output'!$C$36*'Input and Output'!$C$37)/1000,0),0)</f>
        <v>0</v>
      </c>
      <c r="AH42" s="165">
        <f>IF('Input and Output'!$C$33='Input and Output'!$A$217,IF(Workings!AH3='Input and Output'!$C$25,('Input and Output'!$C$36*'Input and Output'!$C$37)/1000,0),0)</f>
        <v>0</v>
      </c>
      <c r="AI42" s="165">
        <f>IF('Input and Output'!$C$33='Input and Output'!$A$217,IF(Workings!AI3='Input and Output'!$C$25,('Input and Output'!$C$36*'Input and Output'!$C$37)/1000,0),0)</f>
        <v>0</v>
      </c>
      <c r="AJ42" s="165">
        <f>IF('Input and Output'!$C$33='Input and Output'!$A$217,IF(Workings!AJ3='Input and Output'!$C$25,('Input and Output'!$C$36*'Input and Output'!$C$37)/1000,0),0)</f>
        <v>0</v>
      </c>
      <c r="AK42" s="165">
        <f>IF('Input and Output'!$C$33='Input and Output'!$A$217,IF(Workings!AK3='Input and Output'!$C$25,('Input and Output'!$C$36*'Input and Output'!$C$37)/1000,0),0)</f>
        <v>0</v>
      </c>
      <c r="AL42" s="165">
        <f>IF('Input and Output'!$C$33='Input and Output'!$A$217,IF(Workings!AL3='Input and Output'!$C$25,('Input and Output'!$C$36*'Input and Output'!$C$37)/1000,0),0)</f>
        <v>125000</v>
      </c>
      <c r="AM42" s="165"/>
      <c r="AN42" s="165"/>
      <c r="AO42" s="165"/>
      <c r="AP42" s="165"/>
      <c r="AQ42" s="165"/>
    </row>
    <row r="43" spans="1:43" s="153" customFormat="1" ht="11.25">
      <c r="A43" s="94" t="s">
        <v>126</v>
      </c>
      <c r="B43" s="86" t="s">
        <v>57</v>
      </c>
      <c r="C43" s="99">
        <f aca="true" t="shared" si="6" ref="C43:C49">SUM(D43:AQ43)</f>
        <v>0</v>
      </c>
      <c r="D43" s="165">
        <f>IF(D3='Input and Output'!$C$23,'Input and Output'!$C$55*'Input and Output'!$C$54,0)/1000</f>
        <v>0</v>
      </c>
      <c r="E43" s="165">
        <f>IF(E3='Input and Output'!$C$23,'Input and Output'!$C$55*'Input and Output'!$C$54,0)/1000</f>
        <v>0</v>
      </c>
      <c r="F43" s="165">
        <f>IF(F3='Input and Output'!$C$23,'Input and Output'!$C$55*'Input and Output'!$C$54,0)/1000</f>
        <v>0</v>
      </c>
      <c r="G43" s="165">
        <f>IF(G3='Input and Output'!$C$23,'Input and Output'!$C$55*'Input and Output'!$C$54,0)/1000</f>
        <v>0</v>
      </c>
      <c r="H43" s="165">
        <f>IF(H3='Input and Output'!$C$23,'Input and Output'!$C$55*'Input and Output'!$C$54,0)/1000</f>
        <v>0</v>
      </c>
      <c r="I43" s="165">
        <f>IF(I3='Input and Output'!$C$23,'Input and Output'!$C$55*'Input and Output'!$C$54,0)/1000</f>
        <v>0</v>
      </c>
      <c r="J43" s="165">
        <f>IF(J3='Input and Output'!$C$23,'Input and Output'!$C$55*'Input and Output'!$C$54,0)/1000</f>
        <v>0</v>
      </c>
      <c r="K43" s="165">
        <f>IF(K3='Input and Output'!$C$23,'Input and Output'!$C$55*'Input and Output'!$C$54,0)/1000</f>
        <v>0</v>
      </c>
      <c r="L43" s="165">
        <f>IF(L3='Input and Output'!$C$23,'Input and Output'!$C$55*'Input and Output'!$C$54,0)/1000</f>
        <v>0</v>
      </c>
      <c r="M43" s="165">
        <f>IF(M3='Input and Output'!$C$23,'Input and Output'!$C$55*'Input and Output'!$C$54,0)/1000</f>
        <v>0</v>
      </c>
      <c r="N43" s="165">
        <f>IF(N3='Input and Output'!$C$23,'Input and Output'!$C$55*'Input and Output'!$C$54,0)/1000</f>
        <v>0</v>
      </c>
      <c r="O43" s="165">
        <f>IF(O3='Input and Output'!$C$23,'Input and Output'!$C$55*'Input and Output'!$C$54,0)/1000</f>
        <v>0</v>
      </c>
      <c r="P43" s="165">
        <f>IF(P3='Input and Output'!$C$23,'Input and Output'!$C$55*'Input and Output'!$C$54,0)/1000</f>
        <v>0</v>
      </c>
      <c r="Q43" s="165">
        <f>IF(Q3='Input and Output'!$C$23,'Input and Output'!$C$55*'Input and Output'!$C$54,0)/1000</f>
        <v>0</v>
      </c>
      <c r="R43" s="165">
        <f>IF(R3='Input and Output'!$C$23,'Input and Output'!$C$55*'Input and Output'!$C$54,0)/1000</f>
        <v>0</v>
      </c>
      <c r="S43" s="165">
        <f>IF(S3='Input and Output'!$C$23,'Input and Output'!$C$55*'Input and Output'!$C$54,0)/1000</f>
        <v>0</v>
      </c>
      <c r="T43" s="165">
        <f>IF(T3='Input and Output'!$C$23,'Input and Output'!$C$55*'Input and Output'!$C$54,0)/1000</f>
        <v>0</v>
      </c>
      <c r="U43" s="165">
        <f>IF(U3='Input and Output'!$C$23,'Input and Output'!$C$55*'Input and Output'!$C$54,0)/1000</f>
        <v>0</v>
      </c>
      <c r="V43" s="165">
        <f>IF(V3='Input and Output'!$C$23,'Input and Output'!$C$55*'Input and Output'!$C$54,0)/1000</f>
        <v>0</v>
      </c>
      <c r="W43" s="165">
        <f>IF(W3='Input and Output'!$C$23,'Input and Output'!$C$55*'Input and Output'!$C$54,0)/1000</f>
        <v>0</v>
      </c>
      <c r="X43" s="165">
        <f>IF(X3='Input and Output'!$C$23,'Input and Output'!$C$55*'Input and Output'!$C$54,0)/1000</f>
        <v>0</v>
      </c>
      <c r="Y43" s="165">
        <f>IF(Y3='Input and Output'!$C$23,'Input and Output'!$C$55*'Input and Output'!$C$54,0)/1000</f>
        <v>0</v>
      </c>
      <c r="Z43" s="165">
        <f>IF(Z3='Input and Output'!$C$23,'Input and Output'!$C$55*'Input and Output'!$C$54,0)/1000</f>
        <v>0</v>
      </c>
      <c r="AA43" s="165">
        <f>IF(AA3='Input and Output'!$C$23,'Input and Output'!$C$55*'Input and Output'!$C$54,0)/1000</f>
        <v>0</v>
      </c>
      <c r="AB43" s="165">
        <f>IF(AB3='Input and Output'!$C$23,'Input and Output'!$C$55*'Input and Output'!$C$54,0)/1000</f>
        <v>0</v>
      </c>
      <c r="AC43" s="165">
        <f>IF(AC3='Input and Output'!$C$23,'Input and Output'!$C$55*'Input and Output'!$C$54,0)/1000</f>
        <v>0</v>
      </c>
      <c r="AD43" s="165">
        <f>IF(AD3='Input and Output'!$C$23,'Input and Output'!$C$55*'Input and Output'!$C$54,0)/1000</f>
        <v>0</v>
      </c>
      <c r="AE43" s="165">
        <f>IF(AE3='Input and Output'!$C$23,'Input and Output'!$C$55*'Input and Output'!$C$54,0)/1000</f>
        <v>0</v>
      </c>
      <c r="AF43" s="165">
        <f>IF(AF3='Input and Output'!$C$23,'Input and Output'!$C$55*'Input and Output'!$C$54,0)/1000</f>
        <v>0</v>
      </c>
      <c r="AG43" s="165">
        <f>IF(AG3='Input and Output'!$C$23,'Input and Output'!$C$55*'Input and Output'!$C$54,0)/1000</f>
        <v>0</v>
      </c>
      <c r="AH43" s="165">
        <f>IF(AH3='Input and Output'!$C$23,'Input and Output'!$C$55*'Input and Output'!$C$54,0)/1000</f>
        <v>0</v>
      </c>
      <c r="AI43" s="165">
        <f>IF(AI3='Input and Output'!$C$23,'Input and Output'!$C$55*'Input and Output'!$C$54,0)/1000</f>
        <v>0</v>
      </c>
      <c r="AJ43" s="165">
        <f>IF(AJ3='Input and Output'!$C$23,'Input and Output'!$C$55*'Input and Output'!$C$54,0)/1000</f>
        <v>0</v>
      </c>
      <c r="AK43" s="165">
        <f>IF(AK3='Input and Output'!$C$23,'Input and Output'!$C$55*'Input and Output'!$C$54,0)/1000</f>
        <v>0</v>
      </c>
      <c r="AL43" s="165">
        <f>IF(AL3='Input and Output'!$C$23,'Input and Output'!$C$55*'Input and Output'!$C$54,0)/1000</f>
        <v>0</v>
      </c>
      <c r="AM43" s="165"/>
      <c r="AN43" s="165"/>
      <c r="AO43" s="165"/>
      <c r="AP43" s="165"/>
      <c r="AQ43" s="165"/>
    </row>
    <row r="44" spans="1:43" s="153" customFormat="1" ht="11.25">
      <c r="A44" s="94" t="s">
        <v>193</v>
      </c>
      <c r="B44" s="86" t="s">
        <v>57</v>
      </c>
      <c r="C44" s="99">
        <f t="shared" si="6"/>
        <v>1193141.0194310318</v>
      </c>
      <c r="D44" s="165">
        <f>IF(D3='Input and Output'!$C$105,'Input and Output'!$C$36*'Input and Output'!$C$42*(1-'Input and Output'!$C$102)*'Input and Output'!$C$106*'Input and Output'!$C$107*('Input and Output'!$C$101*(1+'Input and Output'!$C$103)^Workings!D3),0)/1000</f>
        <v>0</v>
      </c>
      <c r="E44" s="165">
        <f>IF(E3='Input and Output'!$C$105,'Input and Output'!$C$36*'Input and Output'!$C$42*(1-'Input and Output'!$C$102)*'Input and Output'!$C$106*'Input and Output'!$C$107*('Input and Output'!$C$101*(1+'Input and Output'!$C$103)^Workings!E3),0)/1000</f>
        <v>0</v>
      </c>
      <c r="F44" s="165">
        <f>IF(F3='Input and Output'!$C$105,'Input and Output'!$C$36*'Input and Output'!$C$42*(1-'Input and Output'!$C$102)*'Input and Output'!$C$106*'Input and Output'!$C$107*('Input and Output'!$C$101*(1+'Input and Output'!$C$103)^Workings!F3),0)/1000</f>
        <v>0</v>
      </c>
      <c r="G44" s="165">
        <f>IF(G3='Input and Output'!$C$105,'Input and Output'!$C$36*'Input and Output'!$C$42*(1-'Input and Output'!$C$102)*'Input and Output'!$C$106*'Input and Output'!$C$107*('Input and Output'!$C$101*(1+'Input and Output'!$C$103)^Workings!G3),0)/1000</f>
        <v>0</v>
      </c>
      <c r="H44" s="165">
        <f>IF(H3='Input and Output'!$C$105,'Input and Output'!$C$36*'Input and Output'!$C$42*(1-'Input and Output'!$C$102)*'Input and Output'!$C$106*'Input and Output'!$C$107*('Input and Output'!$C$101*(1+'Input and Output'!$C$103)^Workings!H3),0)/1000</f>
        <v>0</v>
      </c>
      <c r="I44" s="165">
        <f>IF(I3='Input and Output'!$C$105,'Input and Output'!$C$36*'Input and Output'!$C$42*(1-'Input and Output'!$C$102)*'Input and Output'!$C$106*'Input and Output'!$C$107*('Input and Output'!$C$101*(1+'Input and Output'!$C$103)^Workings!I3),0)/1000</f>
        <v>0</v>
      </c>
      <c r="J44" s="165">
        <f>IF(J3='Input and Output'!$C$105,'Input and Output'!$C$36*'Input and Output'!$C$42*(1-'Input and Output'!$C$102)*'Input and Output'!$C$106*'Input and Output'!$C$107*('Input and Output'!$C$101*(1+'Input and Output'!$C$103)^Workings!J3),0)/1000</f>
        <v>0</v>
      </c>
      <c r="K44" s="165">
        <f>IF(K3='Input and Output'!$C$105,'Input and Output'!$C$36*'Input and Output'!$C$42*(1-'Input and Output'!$C$102)*'Input and Output'!$C$106*'Input and Output'!$C$107*('Input and Output'!$C$101*(1+'Input and Output'!$C$103)^Workings!K3),0)/1000</f>
        <v>0</v>
      </c>
      <c r="L44" s="165">
        <f>IF(L3='Input and Output'!$C$105,'Input and Output'!$C$36*'Input and Output'!$C$42*(1-'Input and Output'!$C$102)*'Input and Output'!$C$106*'Input and Output'!$C$107*('Input and Output'!$C$101*(1+'Input and Output'!$C$103)^Workings!L3),0)/1000</f>
        <v>0</v>
      </c>
      <c r="M44" s="165">
        <f>IF(M3='Input and Output'!$C$105,'Input and Output'!$C$36*'Input and Output'!$C$42*(1-'Input and Output'!$C$102)*'Input and Output'!$C$106*'Input and Output'!$C$107*('Input and Output'!$C$101*(1+'Input and Output'!$C$103)^Workings!M3),0)/1000</f>
        <v>1193141.0194310318</v>
      </c>
      <c r="N44" s="165">
        <f>IF(N3='Input and Output'!$C$105,'Input and Output'!$C$36*'Input and Output'!$C$42*(1-'Input and Output'!$C$102)*'Input and Output'!$C$106*'Input and Output'!$C$107*('Input and Output'!$C$101*(1+'Input and Output'!$C$103)^Workings!N3),0)/1000</f>
        <v>0</v>
      </c>
      <c r="O44" s="165">
        <f>IF(O3='Input and Output'!$C$105,'Input and Output'!$C$36*'Input and Output'!$C$42*(1-'Input and Output'!$C$102)*'Input and Output'!$C$106*'Input and Output'!$C$107*('Input and Output'!$C$101*(1+'Input and Output'!$C$103)^Workings!O3),0)/1000</f>
        <v>0</v>
      </c>
      <c r="P44" s="165">
        <f>IF(P3='Input and Output'!$C$105,'Input and Output'!$C$36*'Input and Output'!$C$42*(1-'Input and Output'!$C$102)*'Input and Output'!$C$106*'Input and Output'!$C$107*('Input and Output'!$C$101*(1+'Input and Output'!$C$103)^Workings!P3),0)/1000</f>
        <v>0</v>
      </c>
      <c r="Q44" s="165">
        <f>IF(Q3='Input and Output'!$C$105,'Input and Output'!$C$36*'Input and Output'!$C$42*(1-'Input and Output'!$C$102)*'Input and Output'!$C$106*'Input and Output'!$C$107*('Input and Output'!$C$101*(1+'Input and Output'!$C$103)^Workings!Q3),0)/1000</f>
        <v>0</v>
      </c>
      <c r="R44" s="165">
        <f>IF(R3='Input and Output'!$C$105,'Input and Output'!$C$36*'Input and Output'!$C$42*(1-'Input and Output'!$C$102)*'Input and Output'!$C$106*'Input and Output'!$C$107*('Input and Output'!$C$101*(1+'Input and Output'!$C$103)^Workings!R3),0)/1000</f>
        <v>0</v>
      </c>
      <c r="S44" s="165">
        <f>IF(S3='Input and Output'!$C$105,'Input and Output'!$C$36*'Input and Output'!$C$42*(1-'Input and Output'!$C$102)*'Input and Output'!$C$106*'Input and Output'!$C$107*('Input and Output'!$C$101*(1+'Input and Output'!$C$103)^Workings!S3),0)/1000</f>
        <v>0</v>
      </c>
      <c r="T44" s="165">
        <f>IF(T3='Input and Output'!$C$105,'Input and Output'!$C$36*'Input and Output'!$C$42*(1-'Input and Output'!$C$102)*'Input and Output'!$C$106*'Input and Output'!$C$107*('Input and Output'!$C$101*(1+'Input and Output'!$C$103)^Workings!T3),0)/1000</f>
        <v>0</v>
      </c>
      <c r="U44" s="165">
        <f>IF(U3='Input and Output'!$C$105,'Input and Output'!$C$36*'Input and Output'!$C$42*(1-'Input and Output'!$C$102)*'Input and Output'!$C$106*'Input and Output'!$C$107*('Input and Output'!$C$101*(1+'Input and Output'!$C$103)^Workings!U3),0)/1000</f>
        <v>0</v>
      </c>
      <c r="V44" s="165">
        <f>IF(V3='Input and Output'!$C$105,'Input and Output'!$C$36*'Input and Output'!$C$42*(1-'Input and Output'!$C$102)*'Input and Output'!$C$106*'Input and Output'!$C$107*('Input and Output'!$C$101*(1+'Input and Output'!$C$103)^Workings!V3),0)/1000</f>
        <v>0</v>
      </c>
      <c r="W44" s="165">
        <f>IF(W3='Input and Output'!$C$105,'Input and Output'!$C$36*'Input and Output'!$C$42*(1-'Input and Output'!$C$102)*'Input and Output'!$C$106*'Input and Output'!$C$107*('Input and Output'!$C$101*(1+'Input and Output'!$C$103)^Workings!W3),0)/1000</f>
        <v>0</v>
      </c>
      <c r="X44" s="165">
        <f>IF(X3='Input and Output'!$C$105,'Input and Output'!$C$36*'Input and Output'!$C$42*(1-'Input and Output'!$C$102)*'Input and Output'!$C$106*'Input and Output'!$C$107*('Input and Output'!$C$101*(1+'Input and Output'!$C$103)^Workings!X3),0)/1000</f>
        <v>0</v>
      </c>
      <c r="Y44" s="165">
        <f>IF(Y3='Input and Output'!$C$105,'Input and Output'!$C$36*'Input and Output'!$C$42*(1-'Input and Output'!$C$102)*'Input and Output'!$C$106*'Input and Output'!$C$107*('Input and Output'!$C$101*(1+'Input and Output'!$C$103)^Workings!Y3),0)/1000</f>
        <v>0</v>
      </c>
      <c r="Z44" s="165">
        <f>IF(Z3='Input and Output'!$C$105,'Input and Output'!$C$36*'Input and Output'!$C$42*(1-'Input and Output'!$C$102)*'Input and Output'!$C$106*'Input and Output'!$C$107*('Input and Output'!$C$101*(1+'Input and Output'!$C$103)^Workings!Z3),0)/1000</f>
        <v>0</v>
      </c>
      <c r="AA44" s="165">
        <f>IF(AA3='Input and Output'!$C$105,'Input and Output'!$C$36*'Input and Output'!$C$42*(1-'Input and Output'!$C$102)*'Input and Output'!$C$106*'Input and Output'!$C$107*('Input and Output'!$C$101*(1+'Input and Output'!$C$103)^Workings!AA3),0)/1000</f>
        <v>0</v>
      </c>
      <c r="AB44" s="165">
        <f>IF(AB3='Input and Output'!$C$105,'Input and Output'!$C$36*'Input and Output'!$C$42*(1-'Input and Output'!$C$102)*'Input and Output'!$C$106*'Input and Output'!$C$107*('Input and Output'!$C$101*(1+'Input and Output'!$C$103)^Workings!AB3),0)/1000</f>
        <v>0</v>
      </c>
      <c r="AC44" s="165">
        <f>IF(AC3='Input and Output'!$C$105,'Input and Output'!$C$36*'Input and Output'!$C$42*(1-'Input and Output'!$C$102)*'Input and Output'!$C$106*'Input and Output'!$C$107*('Input and Output'!$C$101*(1+'Input and Output'!$C$103)^Workings!AC3),0)/1000</f>
        <v>0</v>
      </c>
      <c r="AD44" s="165">
        <f>IF(AD3='Input and Output'!$C$105,'Input and Output'!$C$36*'Input and Output'!$C$42*(1-'Input and Output'!$C$102)*'Input and Output'!$C$106*'Input and Output'!$C$107*('Input and Output'!$C$101*(1+'Input and Output'!$C$103)^Workings!AD3),0)/1000</f>
        <v>0</v>
      </c>
      <c r="AE44" s="165">
        <f>IF(AE3='Input and Output'!$C$105,'Input and Output'!$C$36*'Input and Output'!$C$42*(1-'Input and Output'!$C$102)*'Input and Output'!$C$106*'Input and Output'!$C$107*('Input and Output'!$C$101*(1+'Input and Output'!$C$103)^Workings!AE3),0)/1000</f>
        <v>0</v>
      </c>
      <c r="AF44" s="165">
        <f>IF(AF3='Input and Output'!$C$105,'Input and Output'!$C$36*'Input and Output'!$C$42*(1-'Input and Output'!$C$102)*'Input and Output'!$C$106*'Input and Output'!$C$107*('Input and Output'!$C$101*(1+'Input and Output'!$C$103)^Workings!AF3),0)/1000</f>
        <v>0</v>
      </c>
      <c r="AG44" s="165">
        <f>IF(AG3='Input and Output'!$C$105,'Input and Output'!$C$36*'Input and Output'!$C$42*(1-'Input and Output'!$C$102)*'Input and Output'!$C$106*'Input and Output'!$C$107*('Input and Output'!$C$101*(1+'Input and Output'!$C$103)^Workings!AG3),0)/1000</f>
        <v>0</v>
      </c>
      <c r="AH44" s="165">
        <f>IF(AH3='Input and Output'!$C$105,'Input and Output'!$C$36*'Input and Output'!$C$42*(1-'Input and Output'!$C$102)*'Input and Output'!$C$106*'Input and Output'!$C$107*('Input and Output'!$C$101*(1+'Input and Output'!$C$103)^Workings!AH3),0)/1000</f>
        <v>0</v>
      </c>
      <c r="AI44" s="165">
        <f>IF(AI3='Input and Output'!$C$105,'Input and Output'!$C$36*'Input and Output'!$C$42*(1-'Input and Output'!$C$102)*'Input and Output'!$C$106*'Input and Output'!$C$107*('Input and Output'!$C$101*(1+'Input and Output'!$C$103)^Workings!AI3),0)/1000</f>
        <v>0</v>
      </c>
      <c r="AJ44" s="165">
        <f>IF(AJ3='Input and Output'!$C$105,'Input and Output'!$C$36*'Input and Output'!$C$42*(1-'Input and Output'!$C$102)*'Input and Output'!$C$106*'Input and Output'!$C$107*('Input and Output'!$C$101*(1+'Input and Output'!$C$103)^Workings!AJ3),0)/1000</f>
        <v>0</v>
      </c>
      <c r="AK44" s="165">
        <f>IF(AK3='Input and Output'!$C$105,'Input and Output'!$C$36*'Input and Output'!$C$42*(1-'Input and Output'!$C$102)*'Input and Output'!$C$106*'Input and Output'!$C$107*('Input and Output'!$C$101*(1+'Input and Output'!$C$103)^Workings!AK3),0)/1000</f>
        <v>0</v>
      </c>
      <c r="AL44" s="165">
        <f>IF(AL3='Input and Output'!$C$105,'Input and Output'!$C$36*'Input and Output'!$C$42*(1-'Input and Output'!$C$102)*'Input and Output'!$C$106*'Input and Output'!$C$107*('Input and Output'!$C$101*(1+'Input and Output'!$C$103)^Workings!AL3),0)/1000</f>
        <v>0</v>
      </c>
      <c r="AM44" s="165"/>
      <c r="AN44" s="165"/>
      <c r="AO44" s="165"/>
      <c r="AP44" s="165"/>
      <c r="AQ44" s="165"/>
    </row>
    <row r="45" spans="1:43" s="153" customFormat="1" ht="11.25">
      <c r="A45" s="94" t="s">
        <v>197</v>
      </c>
      <c r="B45" s="86" t="s">
        <v>57</v>
      </c>
      <c r="C45" s="99">
        <f t="shared" si="6"/>
        <v>1460750.0487524436</v>
      </c>
      <c r="D45" s="165">
        <f>IF(D3='Input and Output'!$C$109,'Input and Output'!$C$36*'Input and Output'!$C$42*(1-'Input and Output'!$C$102)*'Input and Output'!$C$110*'Input and Output'!$C$111*('Input and Output'!$C$101*(1+'Input and Output'!$C$103)^Workings!D3),0)/1000</f>
        <v>0</v>
      </c>
      <c r="E45" s="165">
        <f>IF(E3='Input and Output'!$C$109,'Input and Output'!$C$36*'Input and Output'!$C$42*(1-'Input and Output'!$C$102)*'Input and Output'!$C$110*'Input and Output'!$C$111*('Input and Output'!$C$101*(1+'Input and Output'!$C$103)^Workings!E3),0)/1000</f>
        <v>0</v>
      </c>
      <c r="F45" s="165">
        <f>IF(F3='Input and Output'!$C$109,'Input and Output'!$C$36*'Input and Output'!$C$42*(1-'Input and Output'!$C$102)*'Input and Output'!$C$110*'Input and Output'!$C$111*('Input and Output'!$C$101*(1+'Input and Output'!$C$103)^Workings!F3),0)/1000</f>
        <v>0</v>
      </c>
      <c r="G45" s="165">
        <f>IF(G3='Input and Output'!$C$109,'Input and Output'!$C$36*'Input and Output'!$C$42*(1-'Input and Output'!$C$102)*'Input and Output'!$C$110*'Input and Output'!$C$111*('Input and Output'!$C$101*(1+'Input and Output'!$C$103)^Workings!G3),0)/1000</f>
        <v>0</v>
      </c>
      <c r="H45" s="165">
        <f>IF(H3='Input and Output'!$C$109,'Input and Output'!$C$36*'Input and Output'!$C$42*(1-'Input and Output'!$C$102)*'Input and Output'!$C$110*'Input and Output'!$C$111*('Input and Output'!$C$101*(1+'Input and Output'!$C$103)^Workings!H3),0)/1000</f>
        <v>0</v>
      </c>
      <c r="I45" s="165">
        <f>IF(I3='Input and Output'!$C$109,'Input and Output'!$C$36*'Input and Output'!$C$42*(1-'Input and Output'!$C$102)*'Input and Output'!$C$110*'Input and Output'!$C$111*('Input and Output'!$C$101*(1+'Input and Output'!$C$103)^Workings!I3),0)/1000</f>
        <v>0</v>
      </c>
      <c r="J45" s="165">
        <f>IF(J3='Input and Output'!$C$109,'Input and Output'!$C$36*'Input and Output'!$C$42*(1-'Input and Output'!$C$102)*'Input and Output'!$C$110*'Input and Output'!$C$111*('Input and Output'!$C$101*(1+'Input and Output'!$C$103)^Workings!J3),0)/1000</f>
        <v>0</v>
      </c>
      <c r="K45" s="165">
        <f>IF(K3='Input and Output'!$C$109,'Input and Output'!$C$36*'Input and Output'!$C$42*(1-'Input and Output'!$C$102)*'Input and Output'!$C$110*'Input and Output'!$C$111*('Input and Output'!$C$101*(1+'Input and Output'!$C$103)^Workings!K3),0)/1000</f>
        <v>0</v>
      </c>
      <c r="L45" s="165">
        <f>IF(L3='Input and Output'!$C$109,'Input and Output'!$C$36*'Input and Output'!$C$42*(1-'Input and Output'!$C$102)*'Input and Output'!$C$110*'Input and Output'!$C$111*('Input and Output'!$C$101*(1+'Input and Output'!$C$103)^Workings!L3),0)/1000</f>
        <v>0</v>
      </c>
      <c r="M45" s="165">
        <f>IF(M3='Input and Output'!$C$109,'Input and Output'!$C$36*'Input and Output'!$C$42*(1-'Input and Output'!$C$102)*'Input and Output'!$C$110*'Input and Output'!$C$111*('Input and Output'!$C$101*(1+'Input and Output'!$C$103)^Workings!M3),0)/1000</f>
        <v>0</v>
      </c>
      <c r="N45" s="165">
        <f>IF(N3='Input and Output'!$C$109,'Input and Output'!$C$36*'Input and Output'!$C$42*(1-'Input and Output'!$C$102)*'Input and Output'!$C$110*'Input and Output'!$C$111*('Input and Output'!$C$101*(1+'Input and Output'!$C$103)^Workings!N3),0)/1000</f>
        <v>0</v>
      </c>
      <c r="O45" s="165">
        <f>IF(O3='Input and Output'!$C$109,'Input and Output'!$C$36*'Input and Output'!$C$42*(1-'Input and Output'!$C$102)*'Input and Output'!$C$110*'Input and Output'!$C$111*('Input and Output'!$C$101*(1+'Input and Output'!$C$103)^Workings!O3),0)/1000</f>
        <v>0</v>
      </c>
      <c r="P45" s="165">
        <f>IF(P3='Input and Output'!$C$109,'Input and Output'!$C$36*'Input and Output'!$C$42*(1-'Input and Output'!$C$102)*'Input and Output'!$C$110*'Input and Output'!$C$111*('Input and Output'!$C$101*(1+'Input and Output'!$C$103)^Workings!P3),0)/1000</f>
        <v>0</v>
      </c>
      <c r="Q45" s="165">
        <f>IF(Q3='Input and Output'!$C$109,'Input and Output'!$C$36*'Input and Output'!$C$42*(1-'Input and Output'!$C$102)*'Input and Output'!$C$110*'Input and Output'!$C$111*('Input and Output'!$C$101*(1+'Input and Output'!$C$103)^Workings!Q3),0)/1000</f>
        <v>0</v>
      </c>
      <c r="R45" s="165">
        <f>IF(R3='Input and Output'!$C$109,'Input and Output'!$C$36*'Input and Output'!$C$42*(1-'Input and Output'!$C$102)*'Input and Output'!$C$110*'Input and Output'!$C$111*('Input and Output'!$C$101*(1+'Input and Output'!$C$103)^Workings!R3),0)/1000</f>
        <v>0</v>
      </c>
      <c r="S45" s="165">
        <f>IF(S3='Input and Output'!$C$109,'Input and Output'!$C$36*'Input and Output'!$C$42*(1-'Input and Output'!$C$102)*'Input and Output'!$C$110*'Input and Output'!$C$111*('Input and Output'!$C$101*(1+'Input and Output'!$C$103)^Workings!S3),0)/1000</f>
        <v>0</v>
      </c>
      <c r="T45" s="165">
        <f>IF(T3='Input and Output'!$C$109,'Input and Output'!$C$36*'Input and Output'!$C$42*(1-'Input and Output'!$C$102)*'Input and Output'!$C$110*'Input and Output'!$C$111*('Input and Output'!$C$101*(1+'Input and Output'!$C$103)^Workings!T3),0)/1000</f>
        <v>0</v>
      </c>
      <c r="U45" s="165">
        <f>IF(U3='Input and Output'!$C$109,'Input and Output'!$C$36*'Input and Output'!$C$42*(1-'Input and Output'!$C$102)*'Input and Output'!$C$110*'Input and Output'!$C$111*('Input and Output'!$C$101*(1+'Input and Output'!$C$103)^Workings!U3),0)/1000</f>
        <v>0</v>
      </c>
      <c r="V45" s="165">
        <f>IF(V3='Input and Output'!$C$109,'Input and Output'!$C$36*'Input and Output'!$C$42*(1-'Input and Output'!$C$102)*'Input and Output'!$C$110*'Input and Output'!$C$111*('Input and Output'!$C$101*(1+'Input and Output'!$C$103)^Workings!V3),0)/1000</f>
        <v>0</v>
      </c>
      <c r="W45" s="165">
        <f>IF(W3='Input and Output'!$C$109,'Input and Output'!$C$36*'Input and Output'!$C$42*(1-'Input and Output'!$C$102)*'Input and Output'!$C$110*'Input and Output'!$C$111*('Input and Output'!$C$101*(1+'Input and Output'!$C$103)^Workings!W3),0)/1000</f>
        <v>1460750.0487524436</v>
      </c>
      <c r="X45" s="165">
        <f>IF(X3='Input and Output'!$C$109,'Input and Output'!$C$36*'Input and Output'!$C$42*(1-'Input and Output'!$C$102)*'Input and Output'!$C$110*'Input and Output'!$C$111*('Input and Output'!$C$101*(1+'Input and Output'!$C$103)^Workings!X3),0)/1000</f>
        <v>0</v>
      </c>
      <c r="Y45" s="165">
        <f>IF(Y3='Input and Output'!$C$109,'Input and Output'!$C$36*'Input and Output'!$C$42*(1-'Input and Output'!$C$102)*'Input and Output'!$C$110*'Input and Output'!$C$111*('Input and Output'!$C$101*(1+'Input and Output'!$C$103)^Workings!Y3),0)/1000</f>
        <v>0</v>
      </c>
      <c r="Z45" s="165">
        <f>IF(Z3='Input and Output'!$C$109,'Input and Output'!$C$36*'Input and Output'!$C$42*(1-'Input and Output'!$C$102)*'Input and Output'!$C$110*'Input and Output'!$C$111*('Input and Output'!$C$101*(1+'Input and Output'!$C$103)^Workings!Z3),0)/1000</f>
        <v>0</v>
      </c>
      <c r="AA45" s="165">
        <f>IF(AA3='Input and Output'!$C$109,'Input and Output'!$C$36*'Input and Output'!$C$42*(1-'Input and Output'!$C$102)*'Input and Output'!$C$110*'Input and Output'!$C$111*('Input and Output'!$C$101*(1+'Input and Output'!$C$103)^Workings!AA3),0)/1000</f>
        <v>0</v>
      </c>
      <c r="AB45" s="165">
        <f>IF(AB3='Input and Output'!$C$109,'Input and Output'!$C$36*'Input and Output'!$C$42*(1-'Input and Output'!$C$102)*'Input and Output'!$C$110*'Input and Output'!$C$111*('Input and Output'!$C$101*(1+'Input and Output'!$C$103)^Workings!AB3),0)/1000</f>
        <v>0</v>
      </c>
      <c r="AC45" s="165">
        <f>IF(AC3='Input and Output'!$C$109,'Input and Output'!$C$36*'Input and Output'!$C$42*(1-'Input and Output'!$C$102)*'Input and Output'!$C$110*'Input and Output'!$C$111*('Input and Output'!$C$101*(1+'Input and Output'!$C$103)^Workings!AC3),0)/1000</f>
        <v>0</v>
      </c>
      <c r="AD45" s="165">
        <f>IF(AD3='Input and Output'!$C$109,'Input and Output'!$C$36*'Input and Output'!$C$42*(1-'Input and Output'!$C$102)*'Input and Output'!$C$110*'Input and Output'!$C$111*('Input and Output'!$C$101*(1+'Input and Output'!$C$103)^Workings!AD3),0)/1000</f>
        <v>0</v>
      </c>
      <c r="AE45" s="165">
        <f>IF(AE3='Input and Output'!$C$109,'Input and Output'!$C$36*'Input and Output'!$C$42*(1-'Input and Output'!$C$102)*'Input and Output'!$C$110*'Input and Output'!$C$111*('Input and Output'!$C$101*(1+'Input and Output'!$C$103)^Workings!AE3),0)/1000</f>
        <v>0</v>
      </c>
      <c r="AF45" s="165">
        <f>IF(AF3='Input and Output'!$C$109,'Input and Output'!$C$36*'Input and Output'!$C$42*(1-'Input and Output'!$C$102)*'Input and Output'!$C$110*'Input and Output'!$C$111*('Input and Output'!$C$101*(1+'Input and Output'!$C$103)^Workings!AF3),0)/1000</f>
        <v>0</v>
      </c>
      <c r="AG45" s="165">
        <f>IF(AG3='Input and Output'!$C$109,'Input and Output'!$C$36*'Input and Output'!$C$42*(1-'Input and Output'!$C$102)*'Input and Output'!$C$110*'Input and Output'!$C$111*('Input and Output'!$C$101*(1+'Input and Output'!$C$103)^Workings!AG3),0)/1000</f>
        <v>0</v>
      </c>
      <c r="AH45" s="165">
        <f>IF(AH3='Input and Output'!$C$109,'Input and Output'!$C$36*'Input and Output'!$C$42*(1-'Input and Output'!$C$102)*'Input and Output'!$C$110*'Input and Output'!$C$111*('Input and Output'!$C$101*(1+'Input and Output'!$C$103)^Workings!AH3),0)/1000</f>
        <v>0</v>
      </c>
      <c r="AI45" s="165">
        <f>IF(AI3='Input and Output'!$C$109,'Input and Output'!$C$36*'Input and Output'!$C$42*(1-'Input and Output'!$C$102)*'Input and Output'!$C$110*'Input and Output'!$C$111*('Input and Output'!$C$101*(1+'Input and Output'!$C$103)^Workings!AI3),0)/1000</f>
        <v>0</v>
      </c>
      <c r="AJ45" s="165">
        <f>IF(AJ3='Input and Output'!$C$109,'Input and Output'!$C$36*'Input and Output'!$C$42*(1-'Input and Output'!$C$102)*'Input and Output'!$C$110*'Input and Output'!$C$111*('Input and Output'!$C$101*(1+'Input and Output'!$C$103)^Workings!AJ3),0)/1000</f>
        <v>0</v>
      </c>
      <c r="AK45" s="165">
        <f>IF(AK3='Input and Output'!$C$109,'Input and Output'!$C$36*'Input and Output'!$C$42*(1-'Input and Output'!$C$102)*'Input and Output'!$C$110*'Input and Output'!$C$111*('Input and Output'!$C$101*(1+'Input and Output'!$C$103)^Workings!AK3),0)/1000</f>
        <v>0</v>
      </c>
      <c r="AL45" s="165">
        <f>IF(AL3='Input and Output'!$C$109,'Input and Output'!$C$36*'Input and Output'!$C$42*(1-'Input and Output'!$C$102)*'Input and Output'!$C$110*'Input and Output'!$C$111*('Input and Output'!$C$101*(1+'Input and Output'!$C$103)^Workings!AL3),0)/1000</f>
        <v>0</v>
      </c>
      <c r="AM45" s="165"/>
      <c r="AN45" s="165"/>
      <c r="AO45" s="165"/>
      <c r="AP45" s="165"/>
      <c r="AQ45" s="165"/>
    </row>
    <row r="46" spans="1:43" s="153" customFormat="1" ht="11.25">
      <c r="A46" s="94" t="s">
        <v>198</v>
      </c>
      <c r="B46" s="86" t="s">
        <v>57</v>
      </c>
      <c r="C46" s="99">
        <f t="shared" si="6"/>
        <v>4167142.3795049703</v>
      </c>
      <c r="D46" s="165">
        <f>IF(D3='Input and Output'!$C$113,'Input and Output'!$C$36*'Input and Output'!$C$42*'Input and Output'!$C$114*'Input and Output'!$C$115*('Input and Output'!$C$101*(1+'Input and Output'!$C$103)^Workings!D3),0)/1000</f>
        <v>0</v>
      </c>
      <c r="E46" s="165">
        <f>IF(E3='Input and Output'!$C$113,'Input and Output'!$C$36*'Input and Output'!$C$42*'Input and Output'!$C$114*'Input and Output'!$C$115*('Input and Output'!$C$101*(1+'Input and Output'!$C$103)^Workings!E3),0)/1000</f>
        <v>0</v>
      </c>
      <c r="F46" s="165">
        <f>IF(F3='Input and Output'!$C$113,'Input and Output'!$C$36*'Input and Output'!$C$42*'Input and Output'!$C$114*'Input and Output'!$C$115*('Input and Output'!$C$101*(1+'Input and Output'!$C$103)^Workings!F3),0)/1000</f>
        <v>0</v>
      </c>
      <c r="G46" s="165">
        <f>IF(G3='Input and Output'!$C$113,'Input and Output'!$C$36*'Input and Output'!$C$42*'Input and Output'!$C$114*'Input and Output'!$C$115*('Input and Output'!$C$101*(1+'Input and Output'!$C$103)^Workings!G3),0)/1000</f>
        <v>0</v>
      </c>
      <c r="H46" s="165">
        <f>IF(H3='Input and Output'!$C$113,'Input and Output'!$C$36*'Input and Output'!$C$42*'Input and Output'!$C$114*'Input and Output'!$C$115*('Input and Output'!$C$101*(1+'Input and Output'!$C$103)^Workings!H3),0)/1000</f>
        <v>0</v>
      </c>
      <c r="I46" s="165">
        <f>IF(I3='Input and Output'!$C$113,'Input and Output'!$C$36*'Input and Output'!$C$42*'Input and Output'!$C$114*'Input and Output'!$C$115*('Input and Output'!$C$101*(1+'Input and Output'!$C$103)^Workings!I3),0)/1000</f>
        <v>0</v>
      </c>
      <c r="J46" s="165">
        <f>IF(J3='Input and Output'!$C$113,'Input and Output'!$C$36*'Input and Output'!$C$42*'Input and Output'!$C$114*'Input and Output'!$C$115*('Input and Output'!$C$101*(1+'Input and Output'!$C$103)^Workings!J3),0)/1000</f>
        <v>0</v>
      </c>
      <c r="K46" s="165">
        <f>IF(K3='Input and Output'!$C$113,'Input and Output'!$C$36*'Input and Output'!$C$42*'Input and Output'!$C$114*'Input and Output'!$C$115*('Input and Output'!$C$101*(1+'Input and Output'!$C$103)^Workings!K3),0)/1000</f>
        <v>0</v>
      </c>
      <c r="L46" s="165">
        <f>IF(L3='Input and Output'!$C$113,'Input and Output'!$C$36*'Input and Output'!$C$42*'Input and Output'!$C$114*'Input and Output'!$C$115*('Input and Output'!$C$101*(1+'Input and Output'!$C$103)^Workings!L3),0)/1000</f>
        <v>0</v>
      </c>
      <c r="M46" s="165">
        <f>IF(M3='Input and Output'!$C$113,'Input and Output'!$C$36*'Input and Output'!$C$42*'Input and Output'!$C$114*'Input and Output'!$C$115*('Input and Output'!$C$101*(1+'Input and Output'!$C$103)^Workings!M3),0)/1000</f>
        <v>0</v>
      </c>
      <c r="N46" s="165">
        <f>IF(N3='Input and Output'!$C$113,'Input and Output'!$C$36*'Input and Output'!$C$42*'Input and Output'!$C$114*'Input and Output'!$C$115*('Input and Output'!$C$101*(1+'Input and Output'!$C$103)^Workings!N3),0)/1000</f>
        <v>0</v>
      </c>
      <c r="O46" s="165">
        <f>IF(O3='Input and Output'!$C$113,'Input and Output'!$C$36*'Input and Output'!$C$42*'Input and Output'!$C$114*'Input and Output'!$C$115*('Input and Output'!$C$101*(1+'Input and Output'!$C$103)^Workings!O3),0)/1000</f>
        <v>0</v>
      </c>
      <c r="P46" s="165">
        <f>IF(P3='Input and Output'!$C$113,'Input and Output'!$C$36*'Input and Output'!$C$42*'Input and Output'!$C$114*'Input and Output'!$C$115*('Input and Output'!$C$101*(1+'Input and Output'!$C$103)^Workings!P3),0)/1000</f>
        <v>0</v>
      </c>
      <c r="Q46" s="165">
        <f>IF(Q3='Input and Output'!$C$113,'Input and Output'!$C$36*'Input and Output'!$C$42*'Input and Output'!$C$114*'Input and Output'!$C$115*('Input and Output'!$C$101*(1+'Input and Output'!$C$103)^Workings!Q3),0)/1000</f>
        <v>0</v>
      </c>
      <c r="R46" s="165">
        <f>IF(R3='Input and Output'!$C$113,'Input and Output'!$C$36*'Input and Output'!$C$42*'Input and Output'!$C$114*'Input and Output'!$C$115*('Input and Output'!$C$101*(1+'Input and Output'!$C$103)^Workings!R3),0)/1000</f>
        <v>0</v>
      </c>
      <c r="S46" s="165">
        <f>IF(S3='Input and Output'!$C$113,'Input and Output'!$C$36*'Input and Output'!$C$42*'Input and Output'!$C$114*'Input and Output'!$C$115*('Input and Output'!$C$101*(1+'Input and Output'!$C$103)^Workings!S3),0)/1000</f>
        <v>0</v>
      </c>
      <c r="T46" s="165">
        <f>IF(T3='Input and Output'!$C$113,'Input and Output'!$C$36*'Input and Output'!$C$42*'Input and Output'!$C$114*'Input and Output'!$C$115*('Input and Output'!$C$101*(1+'Input and Output'!$C$103)^Workings!T3),0)/1000</f>
        <v>0</v>
      </c>
      <c r="U46" s="165">
        <f>IF(U3='Input and Output'!$C$113,'Input and Output'!$C$36*'Input and Output'!$C$42*'Input and Output'!$C$114*'Input and Output'!$C$115*('Input and Output'!$C$101*(1+'Input and Output'!$C$103)^Workings!U3),0)/1000</f>
        <v>0</v>
      </c>
      <c r="V46" s="165">
        <f>IF(V3='Input and Output'!$C$113,'Input and Output'!$C$36*'Input and Output'!$C$42*'Input and Output'!$C$114*'Input and Output'!$C$115*('Input and Output'!$C$101*(1+'Input and Output'!$C$103)^Workings!V3),0)/1000</f>
        <v>0</v>
      </c>
      <c r="W46" s="165">
        <f>IF(W3='Input and Output'!$C$113,'Input and Output'!$C$36*'Input and Output'!$C$42*'Input and Output'!$C$114*'Input and Output'!$C$115*('Input and Output'!$C$101*(1+'Input and Output'!$C$103)^Workings!W3),0)/1000</f>
        <v>0</v>
      </c>
      <c r="X46" s="165">
        <f>IF(X3='Input and Output'!$C$113,'Input and Output'!$C$36*'Input and Output'!$C$42*'Input and Output'!$C$114*'Input and Output'!$C$115*('Input and Output'!$C$101*(1+'Input and Output'!$C$103)^Workings!X3),0)/1000</f>
        <v>0</v>
      </c>
      <c r="Y46" s="165">
        <f>IF(Y3='Input and Output'!$C$113,'Input and Output'!$C$36*'Input and Output'!$C$42*'Input and Output'!$C$114*'Input and Output'!$C$115*('Input and Output'!$C$101*(1+'Input and Output'!$C$103)^Workings!Y3),0)/1000</f>
        <v>0</v>
      </c>
      <c r="Z46" s="165">
        <f>IF(Z3='Input and Output'!$C$113,'Input and Output'!$C$36*'Input and Output'!$C$42*'Input and Output'!$C$114*'Input and Output'!$C$115*('Input and Output'!$C$101*(1+'Input and Output'!$C$103)^Workings!Z3),0)/1000</f>
        <v>0</v>
      </c>
      <c r="AA46" s="165">
        <f>IF(AA3='Input and Output'!$C$113,'Input and Output'!$C$36*'Input and Output'!$C$42*'Input and Output'!$C$114*'Input and Output'!$C$115*('Input and Output'!$C$101*(1+'Input and Output'!$C$103)^Workings!AA3),0)/1000</f>
        <v>0</v>
      </c>
      <c r="AB46" s="165">
        <f>IF(AB3='Input and Output'!$C$113,'Input and Output'!$C$36*'Input and Output'!$C$42*'Input and Output'!$C$114*'Input and Output'!$C$115*('Input and Output'!$C$101*(1+'Input and Output'!$C$103)^Workings!AB3),0)/1000</f>
        <v>4167142.3795049703</v>
      </c>
      <c r="AC46" s="165">
        <f>IF(AC3='Input and Output'!$C$113,'Input and Output'!$C$36*'Input and Output'!$C$42*'Input and Output'!$C$114*'Input and Output'!$C$115*('Input and Output'!$C$101*(1+'Input and Output'!$C$103)^Workings!AC3),0)/1000</f>
        <v>0</v>
      </c>
      <c r="AD46" s="165">
        <f>IF(AD3='Input and Output'!$C$113,'Input and Output'!$C$36*'Input and Output'!$C$42*'Input and Output'!$C$114*'Input and Output'!$C$115*('Input and Output'!$C$101*(1+'Input and Output'!$C$103)^Workings!AD3),0)/1000</f>
        <v>0</v>
      </c>
      <c r="AE46" s="165">
        <f>IF(AE3='Input and Output'!$C$113,'Input and Output'!$C$36*'Input and Output'!$C$42*'Input and Output'!$C$114*'Input and Output'!$C$115*('Input and Output'!$C$101*(1+'Input and Output'!$C$103)^Workings!AE3),0)/1000</f>
        <v>0</v>
      </c>
      <c r="AF46" s="165">
        <f>IF(AF3='Input and Output'!$C$113,'Input and Output'!$C$36*'Input and Output'!$C$42*'Input and Output'!$C$114*'Input and Output'!$C$115*('Input and Output'!$C$101*(1+'Input and Output'!$C$103)^Workings!AF3),0)/1000</f>
        <v>0</v>
      </c>
      <c r="AG46" s="165">
        <f>IF(AG3='Input and Output'!$C$113,'Input and Output'!$C$36*'Input and Output'!$C$42*'Input and Output'!$C$114*'Input and Output'!$C$115*('Input and Output'!$C$101*(1+'Input and Output'!$C$103)^Workings!AG3),0)/1000</f>
        <v>0</v>
      </c>
      <c r="AH46" s="165">
        <f>IF(AH3='Input and Output'!$C$113,'Input and Output'!$C$36*'Input and Output'!$C$42*'Input and Output'!$C$114*'Input and Output'!$C$115*('Input and Output'!$C$101*(1+'Input and Output'!$C$103)^Workings!AH3),0)/1000</f>
        <v>0</v>
      </c>
      <c r="AI46" s="165">
        <f>IF(AI3='Input and Output'!$C$113,'Input and Output'!$C$36*'Input and Output'!$C$42*'Input and Output'!$C$114*'Input and Output'!$C$115*('Input and Output'!$C$101*(1+'Input and Output'!$C$103)^Workings!AI3),0)/1000</f>
        <v>0</v>
      </c>
      <c r="AJ46" s="165">
        <f>IF(AJ3='Input and Output'!$C$113,'Input and Output'!$C$36*'Input and Output'!$C$42*'Input and Output'!$C$114*'Input and Output'!$C$115*('Input and Output'!$C$101*(1+'Input and Output'!$C$103)^Workings!AJ3),0)/1000</f>
        <v>0</v>
      </c>
      <c r="AK46" s="165">
        <f>IF(AK3='Input and Output'!$C$113,'Input and Output'!$C$36*'Input and Output'!$C$42*'Input and Output'!$C$114*'Input and Output'!$C$115*('Input and Output'!$C$101*(1+'Input and Output'!$C$103)^Workings!AK3),0)/1000</f>
        <v>0</v>
      </c>
      <c r="AL46" s="165">
        <f>IF(AL3='Input and Output'!$C$113,'Input and Output'!$C$36*'Input and Output'!$C$42*'Input and Output'!$C$114*'Input and Output'!$C$115*('Input and Output'!$C$101*(1+'Input and Output'!$C$103)^Workings!AL3),0)/1000</f>
        <v>0</v>
      </c>
      <c r="AM46" s="165"/>
      <c r="AN46" s="165"/>
      <c r="AO46" s="165"/>
      <c r="AP46" s="165"/>
      <c r="AQ46" s="165"/>
    </row>
    <row r="47" spans="1:43" s="153" customFormat="1" ht="11.25">
      <c r="A47" s="94" t="s">
        <v>89</v>
      </c>
      <c r="B47" s="86" t="s">
        <v>57</v>
      </c>
      <c r="C47" s="99">
        <f t="shared" si="6"/>
        <v>12274980.45903969</v>
      </c>
      <c r="D47" s="165">
        <f>IF(D3='Input and Output'!$C$117,'Input and Output'!$C$36*'Input and Output'!$C$42*'Input and Output'!$C$118*'Input and Output'!$C$119*('Input and Output'!$C$100*(1+'Input and Output'!$C$103)^Workings!D3),0)/1000</f>
        <v>0</v>
      </c>
      <c r="E47" s="165">
        <f>IF(E3='Input and Output'!$C$117,'Input and Output'!$C$36*'Input and Output'!$C$42*'Input and Output'!$C$118*'Input and Output'!$C$119*('Input and Output'!$C$100*(1+'Input and Output'!$C$103)^Workings!E3),0)/1000</f>
        <v>0</v>
      </c>
      <c r="F47" s="165">
        <f>IF(F3='Input and Output'!$C$117,'Input and Output'!$C$36*'Input and Output'!$C$42*'Input and Output'!$C$118*'Input and Output'!$C$119*('Input and Output'!$C$100*(1+'Input and Output'!$C$103)^Workings!F3),0)/1000</f>
        <v>0</v>
      </c>
      <c r="G47" s="165">
        <f>IF(G3='Input and Output'!$C$117,'Input and Output'!$C$36*'Input and Output'!$C$42*'Input and Output'!$C$118*'Input and Output'!$C$119*('Input and Output'!$C$100*(1+'Input and Output'!$C$103)^Workings!G3),0)/1000</f>
        <v>0</v>
      </c>
      <c r="H47" s="165">
        <f>IF(H3='Input and Output'!$C$117,'Input and Output'!$C$36*'Input and Output'!$C$42*'Input and Output'!$C$118*'Input and Output'!$C$119*('Input and Output'!$C$100*(1+'Input and Output'!$C$103)^Workings!H3),0)/1000</f>
        <v>0</v>
      </c>
      <c r="I47" s="165">
        <f>IF(I3='Input and Output'!$C$117,'Input and Output'!$C$36*'Input and Output'!$C$42*'Input and Output'!$C$118*'Input and Output'!$C$119*('Input and Output'!$C$100*(1+'Input and Output'!$C$103)^Workings!I3),0)/1000</f>
        <v>0</v>
      </c>
      <c r="J47" s="165">
        <f>IF(J3='Input and Output'!$C$117,'Input and Output'!$C$36*'Input and Output'!$C$42*'Input and Output'!$C$118*'Input and Output'!$C$119*('Input and Output'!$C$100*(1+'Input and Output'!$C$103)^Workings!J3),0)/1000</f>
        <v>0</v>
      </c>
      <c r="K47" s="165">
        <f>IF(K3='Input and Output'!$C$117,'Input and Output'!$C$36*'Input and Output'!$C$42*'Input and Output'!$C$118*'Input and Output'!$C$119*('Input and Output'!$C$100*(1+'Input and Output'!$C$103)^Workings!K3),0)/1000</f>
        <v>0</v>
      </c>
      <c r="L47" s="165">
        <f>IF(L3='Input and Output'!$C$117,'Input and Output'!$C$36*'Input and Output'!$C$42*'Input and Output'!$C$118*'Input and Output'!$C$119*('Input and Output'!$C$100*(1+'Input and Output'!$C$103)^Workings!L3),0)/1000</f>
        <v>0</v>
      </c>
      <c r="M47" s="165">
        <f>IF(M3='Input and Output'!$C$117,'Input and Output'!$C$36*'Input and Output'!$C$42*'Input and Output'!$C$118*'Input and Output'!$C$119*('Input and Output'!$C$100*(1+'Input and Output'!$C$103)^Workings!M3),0)/1000</f>
        <v>0</v>
      </c>
      <c r="N47" s="165">
        <f>IF(N3='Input and Output'!$C$117,'Input and Output'!$C$36*'Input and Output'!$C$42*'Input and Output'!$C$118*'Input and Output'!$C$119*('Input and Output'!$C$100*(1+'Input and Output'!$C$103)^Workings!N3),0)/1000</f>
        <v>0</v>
      </c>
      <c r="O47" s="165">
        <f>IF(O3='Input and Output'!$C$117,'Input and Output'!$C$36*'Input and Output'!$C$42*'Input and Output'!$C$118*'Input and Output'!$C$119*('Input and Output'!$C$100*(1+'Input and Output'!$C$103)^Workings!O3),0)/1000</f>
        <v>0</v>
      </c>
      <c r="P47" s="165">
        <f>IF(P3='Input and Output'!$C$117,'Input and Output'!$C$36*'Input and Output'!$C$42*'Input and Output'!$C$118*'Input and Output'!$C$119*('Input and Output'!$C$100*(1+'Input and Output'!$C$103)^Workings!P3),0)/1000</f>
        <v>0</v>
      </c>
      <c r="Q47" s="165">
        <f>IF(Q3='Input and Output'!$C$117,'Input and Output'!$C$36*'Input and Output'!$C$42*'Input and Output'!$C$118*'Input and Output'!$C$119*('Input and Output'!$C$100*(1+'Input and Output'!$C$103)^Workings!Q3),0)/1000</f>
        <v>0</v>
      </c>
      <c r="R47" s="165">
        <f>IF(R3='Input and Output'!$C$117,'Input and Output'!$C$36*'Input and Output'!$C$42*'Input and Output'!$C$118*'Input and Output'!$C$119*('Input and Output'!$C$100*(1+'Input and Output'!$C$103)^Workings!R3),0)/1000</f>
        <v>0</v>
      </c>
      <c r="S47" s="165">
        <f>IF(S3='Input and Output'!$C$117,'Input and Output'!$C$36*'Input and Output'!$C$42*'Input and Output'!$C$118*'Input and Output'!$C$119*('Input and Output'!$C$100*(1+'Input and Output'!$C$103)^Workings!S3),0)/1000</f>
        <v>0</v>
      </c>
      <c r="T47" s="165">
        <f>IF(T3='Input and Output'!$C$117,'Input and Output'!$C$36*'Input and Output'!$C$42*'Input and Output'!$C$118*'Input and Output'!$C$119*('Input and Output'!$C$100*(1+'Input and Output'!$C$103)^Workings!T3),0)/1000</f>
        <v>0</v>
      </c>
      <c r="U47" s="165">
        <f>IF(U3='Input and Output'!$C$117,'Input and Output'!$C$36*'Input and Output'!$C$42*'Input and Output'!$C$118*'Input and Output'!$C$119*('Input and Output'!$C$100*(1+'Input and Output'!$C$103)^Workings!U3),0)/1000</f>
        <v>0</v>
      </c>
      <c r="V47" s="165">
        <f>IF(V3='Input and Output'!$C$117,'Input and Output'!$C$36*'Input and Output'!$C$42*'Input and Output'!$C$118*'Input and Output'!$C$119*('Input and Output'!$C$100*(1+'Input and Output'!$C$103)^Workings!V3),0)/1000</f>
        <v>0</v>
      </c>
      <c r="W47" s="165">
        <f>IF(W3='Input and Output'!$C$117,'Input and Output'!$C$36*'Input and Output'!$C$42*'Input and Output'!$C$118*'Input and Output'!$C$119*('Input and Output'!$C$100*(1+'Input and Output'!$C$103)^Workings!W3),0)/1000</f>
        <v>0</v>
      </c>
      <c r="X47" s="165">
        <f>IF(X3='Input and Output'!$C$117,'Input and Output'!$C$36*'Input and Output'!$C$42*'Input and Output'!$C$118*'Input and Output'!$C$119*('Input and Output'!$C$100*(1+'Input and Output'!$C$103)^Workings!X3),0)/1000</f>
        <v>0</v>
      </c>
      <c r="Y47" s="165">
        <f>IF(Y3='Input and Output'!$C$117,'Input and Output'!$C$36*'Input and Output'!$C$42*'Input and Output'!$C$118*'Input and Output'!$C$119*('Input and Output'!$C$100*(1+'Input and Output'!$C$103)^Workings!Y3),0)/1000</f>
        <v>0</v>
      </c>
      <c r="Z47" s="165">
        <f>IF(Z3='Input and Output'!$C$117,'Input and Output'!$C$36*'Input and Output'!$C$42*'Input and Output'!$C$118*'Input and Output'!$C$119*('Input and Output'!$C$100*(1+'Input and Output'!$C$103)^Workings!Z3),0)/1000</f>
        <v>0</v>
      </c>
      <c r="AA47" s="165">
        <f>IF(AA3='Input and Output'!$C$117,'Input and Output'!$C$36*'Input and Output'!$C$42*'Input and Output'!$C$118*'Input and Output'!$C$119*('Input and Output'!$C$100*(1+'Input and Output'!$C$103)^Workings!AA3),0)/1000</f>
        <v>0</v>
      </c>
      <c r="AB47" s="165">
        <f>IF(AB3='Input and Output'!$C$117,'Input and Output'!$C$36*'Input and Output'!$C$42*'Input and Output'!$C$118*'Input and Output'!$C$119*('Input and Output'!$C$100*(1+'Input and Output'!$C$103)^Workings!AB3),0)/1000</f>
        <v>0</v>
      </c>
      <c r="AC47" s="165">
        <f>IF(AC3='Input and Output'!$C$117,'Input and Output'!$C$36*'Input and Output'!$C$42*'Input and Output'!$C$118*'Input and Output'!$C$119*('Input and Output'!$C$100*(1+'Input and Output'!$C$103)^Workings!AC3),0)/1000</f>
        <v>0</v>
      </c>
      <c r="AD47" s="165">
        <f>IF(AD3='Input and Output'!$C$117,'Input and Output'!$C$36*'Input and Output'!$C$42*'Input and Output'!$C$118*'Input and Output'!$C$119*('Input and Output'!$C$100*(1+'Input and Output'!$C$103)^Workings!AD3),0)/1000</f>
        <v>0</v>
      </c>
      <c r="AE47" s="165">
        <f>IF(AE3='Input and Output'!$C$117,'Input and Output'!$C$36*'Input and Output'!$C$42*'Input and Output'!$C$118*'Input and Output'!$C$119*('Input and Output'!$C$100*(1+'Input and Output'!$C$103)^Workings!AE3),0)/1000</f>
        <v>0</v>
      </c>
      <c r="AF47" s="165">
        <f>IF(AF3='Input and Output'!$C$117,'Input and Output'!$C$36*'Input and Output'!$C$42*'Input and Output'!$C$118*'Input and Output'!$C$119*('Input and Output'!$C$100*(1+'Input and Output'!$C$103)^Workings!AF3),0)/1000</f>
        <v>0</v>
      </c>
      <c r="AG47" s="165">
        <f>IF(AG3='Input and Output'!$C$117,'Input and Output'!$C$36*'Input and Output'!$C$42*'Input and Output'!$C$118*'Input and Output'!$C$119*('Input and Output'!$C$100*(1+'Input and Output'!$C$103)^Workings!AG3),0)/1000</f>
        <v>0</v>
      </c>
      <c r="AH47" s="165">
        <f>IF(AH3='Input and Output'!$C$117,'Input and Output'!$C$36*'Input and Output'!$C$42*'Input and Output'!$C$118*'Input and Output'!$C$119*('Input and Output'!$C$100*(1+'Input and Output'!$C$103)^Workings!AH3),0)/1000</f>
        <v>0</v>
      </c>
      <c r="AI47" s="165">
        <f>IF(AI3='Input and Output'!$C$117,'Input and Output'!$C$36*'Input and Output'!$C$42*'Input and Output'!$C$118*'Input and Output'!$C$119*('Input and Output'!$C$100*(1+'Input and Output'!$C$103)^Workings!AI3),0)/1000</f>
        <v>0</v>
      </c>
      <c r="AJ47" s="165">
        <f>IF(AJ3='Input and Output'!$C$117,'Input and Output'!$C$36*'Input and Output'!$C$42*'Input and Output'!$C$118*'Input and Output'!$C$119*('Input and Output'!$C$100*(1+'Input and Output'!$C$103)^Workings!AJ3),0)/1000</f>
        <v>0</v>
      </c>
      <c r="AK47" s="165">
        <f>IF(AK3='Input and Output'!$C$117,'Input and Output'!$C$36*'Input and Output'!$C$42*'Input and Output'!$C$118*'Input and Output'!$C$119*('Input and Output'!$C$100*(1+'Input and Output'!$C$103)^Workings!AK3),0)/1000</f>
        <v>0</v>
      </c>
      <c r="AL47" s="165">
        <f>IF(AL3='Input and Output'!$C$117,'Input and Output'!$C$36*'Input and Output'!$C$42*'Input and Output'!$C$118*'Input and Output'!$C$119*('Input and Output'!$C$100*(1+'Input and Output'!$C$103)^Workings!AL3),0)/1000</f>
        <v>12274980.45903969</v>
      </c>
      <c r="AM47" s="165"/>
      <c r="AN47" s="165"/>
      <c r="AO47" s="165"/>
      <c r="AP47" s="165"/>
      <c r="AQ47" s="165"/>
    </row>
    <row r="48" spans="1:43" s="153" customFormat="1" ht="11.25">
      <c r="A48" s="94" t="s">
        <v>110</v>
      </c>
      <c r="B48" s="86" t="s">
        <v>57</v>
      </c>
      <c r="C48" s="99">
        <f t="shared" si="6"/>
        <v>8131712.601132119</v>
      </c>
      <c r="D48" s="165">
        <f>IF(D3&lt;'Input and Output'!$C$121,0,('Input and Output'!$C$122*'Input and Output'!$C$47*'Input and Output'!$C$124)*(1+'Input and Output'!$C$123+'Input and Output'!$C$125)^Workings!D3/1000)</f>
        <v>0</v>
      </c>
      <c r="E48" s="165">
        <f>IF(E3&lt;'Input and Output'!$C$121,0,('Input and Output'!$C$122*'Input and Output'!$C$47*'Input and Output'!$C$124)*(1+'Input and Output'!$C$123+'Input and Output'!$C$125)^Workings!E3/1000)</f>
        <v>0</v>
      </c>
      <c r="F48" s="165">
        <f>IF(F3&lt;'Input and Output'!$C$121,0,('Input and Output'!$C$122*'Input and Output'!$C$47*'Input and Output'!$C$124)*(1+'Input and Output'!$C$123+'Input and Output'!$C$125)^Workings!F3/1000)</f>
        <v>0</v>
      </c>
      <c r="G48" s="165">
        <f>IF(G3&lt;'Input and Output'!$C$121,0,('Input and Output'!$C$122*'Input and Output'!$C$47*'Input and Output'!$C$124)*(1+'Input and Output'!$C$123+'Input and Output'!$C$125)^Workings!G3/1000)</f>
        <v>0</v>
      </c>
      <c r="H48" s="165">
        <f>IF(H3&lt;'Input and Output'!$C$121,0,('Input and Output'!$C$47*('Input and Output'!$C$124*(1+'Input and Output'!$C$125)^Workings!H3)*('Input and Output'!$C$122*(1+'Input and Output'!$C$123)^(Workings!H3+1-'Input and Output'!$C$121))/1000))</f>
        <v>113691.89264891761</v>
      </c>
      <c r="I48" s="165">
        <f>IF(I3&lt;'Input and Output'!$C$121,0,('Input and Output'!$C$47*('Input and Output'!$C$124*(1+'Input and Output'!$C$125)^Workings!I3)*('Input and Output'!$C$122*(1+'Input and Output'!$C$123)^(Workings!I3+1-'Input and Output'!$C$121))/1000))</f>
        <v>119444.70241695282</v>
      </c>
      <c r="J48" s="165">
        <f>IF(J3&lt;'Input and Output'!$C$121,0,('Input and Output'!$C$47*('Input and Output'!$C$124*(1+'Input and Output'!$C$125)^Workings!J3)*('Input and Output'!$C$122*(1+'Input and Output'!$C$123)^(Workings!J3+1-'Input and Output'!$C$121))/1000))</f>
        <v>125488.60435925062</v>
      </c>
      <c r="K48" s="165">
        <f>IF(K3&lt;'Input and Output'!$C$121,0,('Input and Output'!$C$47*('Input and Output'!$C$124*(1+'Input and Output'!$C$125)^Workings!K3)*('Input and Output'!$C$122*(1+'Input and Output'!$C$123)^(Workings!K3+1-'Input and Output'!$C$121))/1000))</f>
        <v>131838.3277398287</v>
      </c>
      <c r="L48" s="165">
        <f>IF(L3&lt;'Input and Output'!$C$121,0,('Input and Output'!$C$47*('Input and Output'!$C$124*(1+'Input and Output'!$C$125)^Workings!L3)*('Input and Output'!$C$122*(1+'Input and Output'!$C$123)^(Workings!L3+1-'Input and Output'!$C$121))/1000))</f>
        <v>138509.34712346402</v>
      </c>
      <c r="M48" s="165">
        <f>IF(M3&lt;'Input and Output'!$C$121,0,('Input and Output'!$C$47*('Input and Output'!$C$124*(1+'Input and Output'!$C$125)^Workings!M3)*('Input and Output'!$C$122*(1+'Input and Output'!$C$123)^(Workings!M3+1-'Input and Output'!$C$121))/1000))</f>
        <v>145517.92008791133</v>
      </c>
      <c r="N48" s="165">
        <f>IF(N3&lt;'Input and Output'!$C$121,0,('Input and Output'!$C$47*('Input and Output'!$C$124*(1+'Input and Output'!$C$125)^Workings!N3)*('Input and Output'!$C$122*(1+'Input and Output'!$C$123)^(Workings!N3+1-'Input and Output'!$C$121))/1000))</f>
        <v>152881.12684435962</v>
      </c>
      <c r="O48" s="165">
        <f>IF(O3&lt;'Input and Output'!$C$121,0,('Input and Output'!$C$47*('Input and Output'!$C$124*(1+'Input and Output'!$C$125)^Workings!O3)*('Input and Output'!$C$122*(1+'Input and Output'!$C$123)^(Workings!O3+1-'Input and Output'!$C$121))/1000))</f>
        <v>160616.9118626842</v>
      </c>
      <c r="P48" s="165">
        <f>IF(P3&lt;'Input and Output'!$C$121,0,('Input and Output'!$C$47*('Input and Output'!$C$124*(1+'Input and Output'!$C$125)^Workings!P3)*('Input and Output'!$C$122*(1+'Input and Output'!$C$123)^(Workings!P3+1-'Input and Output'!$C$121))/1000))</f>
        <v>168744.12760293603</v>
      </c>
      <c r="Q48" s="165">
        <f>IF(Q3&lt;'Input and Output'!$C$121,0,('Input and Output'!$C$47*('Input and Output'!$C$124*(1+'Input and Output'!$C$125)^Workings!Q3)*('Input and Output'!$C$122*(1+'Input and Output'!$C$123)^(Workings!Q3+1-'Input and Output'!$C$121))/1000))</f>
        <v>177282.5804596446</v>
      </c>
      <c r="R48" s="165">
        <f>IF(R3&lt;'Input and Output'!$C$121,0,('Input and Output'!$C$47*('Input and Output'!$C$124*(1+'Input and Output'!$C$125)^Workings!R3)*('Input and Output'!$C$122*(1+'Input and Output'!$C$123)^(Workings!R3+1-'Input and Output'!$C$121))/1000))</f>
        <v>186253.07903090262</v>
      </c>
      <c r="S48" s="165">
        <f>IF(S3&lt;'Input and Output'!$C$121,0,('Input and Output'!$C$47*('Input and Output'!$C$124*(1+'Input and Output'!$C$125)^Workings!S3)*('Input and Output'!$C$122*(1+'Input and Output'!$C$123)^(Workings!S3+1-'Input and Output'!$C$121))/1000))</f>
        <v>195677.4848298663</v>
      </c>
      <c r="T48" s="165">
        <f>IF(T3&lt;'Input and Output'!$C$121,0,('Input and Output'!$C$47*('Input and Output'!$C$124*(1+'Input and Output'!$C$125)^Workings!T3)*('Input and Output'!$C$122*(1+'Input and Output'!$C$123)^(Workings!T3+1-'Input and Output'!$C$121))/1000))</f>
        <v>205578.7655622575</v>
      </c>
      <c r="U48" s="165">
        <f>IF(U3&lt;'Input and Output'!$C$121,0,('Input and Output'!$C$47*('Input and Output'!$C$124*(1+'Input and Output'!$C$125)^Workings!U3)*('Input and Output'!$C$122*(1+'Input and Output'!$C$123)^(Workings!U3+1-'Input and Output'!$C$121))/1000))</f>
        <v>215981.05109970775</v>
      </c>
      <c r="V48" s="165">
        <f>IF(V3&lt;'Input and Output'!$C$121,0,('Input and Output'!$C$47*('Input and Output'!$C$124*(1+'Input and Output'!$C$125)^Workings!V3)*('Input and Output'!$C$122*(1+'Input and Output'!$C$123)^(Workings!V3+1-'Input and Output'!$C$121))/1000))</f>
        <v>226909.69228535294</v>
      </c>
      <c r="W48" s="165">
        <f>IF(W3&lt;'Input and Output'!$C$121,0,('Input and Output'!$C$47*('Input and Output'!$C$124*(1+'Input and Output'!$C$125)^Workings!W3)*('Input and Output'!$C$122*(1+'Input and Output'!$C$123)^(Workings!W3+1-'Input and Output'!$C$121))/1000))</f>
        <v>238391.32271499178</v>
      </c>
      <c r="X48" s="165">
        <f>IF(X3&lt;'Input and Output'!$C$121,0,('Input and Output'!$C$47*('Input and Output'!$C$124*(1+'Input and Output'!$C$125)^Workings!X3)*('Input and Output'!$C$122*(1+'Input and Output'!$C$123)^(Workings!X3+1-'Input and Output'!$C$121))/1000))</f>
        <v>250453.92364437037</v>
      </c>
      <c r="Y48" s="165">
        <f>IF(Y3&lt;'Input and Output'!$C$121,0,('Input and Output'!$C$47*('Input and Output'!$C$124*(1+'Input and Output'!$C$125)^Workings!Y3)*('Input and Output'!$C$122*(1+'Input and Output'!$C$123)^(Workings!Y3+1-'Input and Output'!$C$121))/1000))</f>
        <v>263126.89218077547</v>
      </c>
      <c r="Z48" s="165">
        <f>IF(Z3&lt;'Input and Output'!$C$121,0,('Input and Output'!$C$47*('Input and Output'!$C$124*(1+'Input and Output'!$C$125)^Workings!Z3)*('Input and Output'!$C$122*(1+'Input and Output'!$C$123)^(Workings!Z3+1-'Input and Output'!$C$121))/1000))</f>
        <v>276441.1129251227</v>
      </c>
      <c r="AA48" s="165">
        <f>IF(AA3&lt;'Input and Output'!$C$121,0,('Input and Output'!$C$47*('Input and Output'!$C$124*(1+'Input and Output'!$C$125)^Workings!AA3)*('Input and Output'!$C$122*(1+'Input and Output'!$C$123)^(Workings!AA3+1-'Input and Output'!$C$121))/1000))</f>
        <v>290429.03323913395</v>
      </c>
      <c r="AB48" s="165">
        <f>IF(AB3&lt;'Input and Output'!$C$121,0,('Input and Output'!$C$47*('Input and Output'!$C$124*(1+'Input and Output'!$C$125)^Workings!AB3)*('Input and Output'!$C$122*(1+'Input and Output'!$C$123)^(Workings!AB3+1-'Input and Output'!$C$121))/1000))</f>
        <v>305124.742321034</v>
      </c>
      <c r="AC48" s="165">
        <f>IF(AC3&lt;'Input and Output'!$C$121,0,('Input and Output'!$C$47*('Input and Output'!$C$124*(1+'Input and Output'!$C$125)^Workings!AC3)*('Input and Output'!$C$122*(1+'Input and Output'!$C$123)^(Workings!AC3+1-'Input and Output'!$C$121))/1000))</f>
        <v>320564.0542824784</v>
      </c>
      <c r="AD48" s="165">
        <f>IF(AD3&lt;'Input and Output'!$C$121,0,('Input and Output'!$C$47*('Input and Output'!$C$124*(1+'Input and Output'!$C$125)^Workings!AD3)*('Input and Output'!$C$122*(1+'Input and Output'!$C$123)^(Workings!AD3+1-'Input and Output'!$C$121))/1000))</f>
        <v>336784.59542917187</v>
      </c>
      <c r="AE48" s="165">
        <f>IF(AE3&lt;'Input and Output'!$C$121,0,('Input and Output'!$C$47*('Input and Output'!$C$124*(1+'Input and Output'!$C$125)^Workings!AE3)*('Input and Output'!$C$122*(1+'Input and Output'!$C$123)^(Workings!AE3+1-'Input and Output'!$C$121))/1000))</f>
        <v>353825.89595788793</v>
      </c>
      <c r="AF48" s="165">
        <f>IF(AF3&lt;'Input and Output'!$C$121,0,('Input and Output'!$C$47*('Input and Output'!$C$124*(1+'Input and Output'!$C$125)^Workings!AF3)*('Input and Output'!$C$122*(1+'Input and Output'!$C$123)^(Workings!AF3+1-'Input and Output'!$C$121))/1000))</f>
        <v>371729.48629335704</v>
      </c>
      <c r="AG48" s="165">
        <f>IF(AG3&lt;'Input and Output'!$C$121,0,('Input and Output'!$C$47*('Input and Output'!$C$124*(1+'Input and Output'!$C$125)^Workings!AG3)*('Input and Output'!$C$122*(1+'Input and Output'!$C$123)^(Workings!AG3+1-'Input and Output'!$C$121))/1000))</f>
        <v>390538.9982998009</v>
      </c>
      <c r="AH48" s="165">
        <f>IF(AH3&lt;'Input and Output'!$C$121,0,('Input and Output'!$C$47*('Input and Output'!$C$124*(1+'Input and Output'!$C$125)^Workings!AH3)*('Input and Output'!$C$122*(1+'Input and Output'!$C$123)^(Workings!AH3+1-'Input and Output'!$C$121))/1000))</f>
        <v>410300.2716137708</v>
      </c>
      <c r="AI48" s="165">
        <f>IF(AI3&lt;'Input and Output'!$C$121,0,('Input and Output'!$C$47*('Input and Output'!$C$124*(1+'Input and Output'!$C$125)^Workings!AI3)*('Input and Output'!$C$122*(1+'Input and Output'!$C$123)^(Workings!AI3+1-'Input and Output'!$C$121))/1000))</f>
        <v>431061.46535742766</v>
      </c>
      <c r="AJ48" s="165">
        <f>IF(AJ3&lt;'Input and Output'!$C$121,0,('Input and Output'!$C$47*('Input and Output'!$C$124*(1+'Input and Output'!$C$125)^Workings!AJ3)*('Input and Output'!$C$122*(1+'Input and Output'!$C$123)^(Workings!AJ3+1-'Input and Output'!$C$121))/1000))</f>
        <v>452873.17550451343</v>
      </c>
      <c r="AK48" s="165">
        <f>IF(AK3&lt;'Input and Output'!$C$121,0,('Input and Output'!$C$47*('Input and Output'!$C$124*(1+'Input and Output'!$C$125)^Workings!AK3)*('Input and Output'!$C$122*(1+'Input and Output'!$C$123)^(Workings!AK3+1-'Input and Output'!$C$121))/1000))</f>
        <v>475788.55818504177</v>
      </c>
      <c r="AL48" s="165">
        <f>IF(AL3&lt;'Input and Output'!$C$121,0,('Input and Output'!$C$47*('Input and Output'!$C$124*(1+'Input and Output'!$C$125)^Workings!AL3)*('Input and Output'!$C$122*(1+'Input and Output'!$C$123)^(Workings!AL3+1-'Input and Output'!$C$121))/1000))</f>
        <v>499863.459229205</v>
      </c>
      <c r="AM48" s="165"/>
      <c r="AN48" s="165"/>
      <c r="AO48" s="165"/>
      <c r="AP48" s="165"/>
      <c r="AQ48" s="165"/>
    </row>
    <row r="49" spans="1:43" s="153" customFormat="1" ht="11.25">
      <c r="A49" s="94" t="s">
        <v>162</v>
      </c>
      <c r="B49" s="86" t="s">
        <v>57</v>
      </c>
      <c r="C49" s="99">
        <f t="shared" si="6"/>
        <v>280946.0799940434</v>
      </c>
      <c r="D49" s="165">
        <f>IF('Input and Output'!$C$128="yes",IF(D3&lt;'Input and Output'!$C$129,0,'Input and Output'!$C$36*'Input and Output'!$C$130*'Input and Output'!$C$132*'Input and Output'!$C$134*0.001*(1+'Input and Output'!$C$133)^Workings!D3),0)</f>
        <v>0</v>
      </c>
      <c r="E49" s="165">
        <f>IF('Input and Output'!$C$128="yes",IF(E3&lt;'Input and Output'!$C$129,0,'Input and Output'!$C$36*'Input and Output'!$C$130*'Input and Output'!$C$132*'Input and Output'!$C$134*0.001*(1+'Input and Output'!$C$133)^Workings!E3),0)</f>
        <v>2696.6400000000003</v>
      </c>
      <c r="F49" s="165">
        <f>IF('Input and Output'!$C$128="yes",IF(F3&lt;'Input and Output'!$C$129,0,'Input and Output'!$C$36*'Input and Output'!$C$130*'Input and Output'!$C$132*'Input and Output'!$C$134*0.001*(1+'Input and Output'!$C$133)^Workings!F3),0)</f>
        <v>2858.438400000001</v>
      </c>
      <c r="G49" s="165">
        <f>IF('Input and Output'!$C$128="yes",IF(G3&lt;'Input and Output'!$C$129,0,'Input and Output'!$C$36*'Input and Output'!$C$130*'Input and Output'!$C$132*'Input and Output'!$C$134*0.001*(1+'Input and Output'!$C$133)^Workings!G3),0)</f>
        <v>3029.944704000001</v>
      </c>
      <c r="H49" s="165">
        <f>IF('Input and Output'!$C$128="yes",IF(H3&lt;'Input and Output'!$C$129,0,'Input and Output'!$C$36*'Input and Output'!$C$130*'Input and Output'!$C$132*'Input and Output'!$C$134*0.001*(1+'Input and Output'!$C$133)^Workings!H3),0)</f>
        <v>3211.7413862400012</v>
      </c>
      <c r="I49" s="165">
        <f>IF('Input and Output'!$C$128="yes",IF(I3&lt;'Input and Output'!$C$129,0,'Input and Output'!$C$36*'Input and Output'!$C$130*'Input and Output'!$C$132*'Input and Output'!$C$134*0.001*(1+'Input and Output'!$C$133)^Workings!I3),0)</f>
        <v>3404.4458694144014</v>
      </c>
      <c r="J49" s="165">
        <f>IF('Input and Output'!$C$128="yes",IF(J3&lt;'Input and Output'!$C$129,0,'Input and Output'!$C$36*'Input and Output'!$C$130*'Input and Output'!$C$132*'Input and Output'!$C$134*0.001*(1+'Input and Output'!$C$133)^Workings!J3),0)</f>
        <v>3608.712621579266</v>
      </c>
      <c r="K49" s="165">
        <f>IF('Input and Output'!$C$128="yes",IF(K3&lt;'Input and Output'!$C$129,0,'Input and Output'!$C$36*'Input and Output'!$C$130*'Input and Output'!$C$132*'Input and Output'!$C$134*0.001*(1+'Input and Output'!$C$133)^Workings!K3),0)</f>
        <v>3825.2353788740215</v>
      </c>
      <c r="L49" s="165">
        <f>IF('Input and Output'!$C$128="yes",IF(L3&lt;'Input and Output'!$C$129,0,'Input and Output'!$C$36*'Input and Output'!$C$130*'Input and Output'!$C$132*'Input and Output'!$C$134*0.001*(1+'Input and Output'!$C$133)^Workings!L3),0)</f>
        <v>4054.7495016064627</v>
      </c>
      <c r="M49" s="165">
        <f>IF('Input and Output'!$C$128="yes",IF(M3&lt;'Input and Output'!$C$129,0,'Input and Output'!$C$36*'Input and Output'!$C$130*'Input and Output'!$C$132*'Input and Output'!$C$134*0.001*(1+'Input and Output'!$C$133)^Workings!M3),0)</f>
        <v>4298.034471702851</v>
      </c>
      <c r="N49" s="165">
        <f>IF('Input and Output'!$C$128="yes",IF(N3&lt;'Input and Output'!$C$129,0,'Input and Output'!$C$36*'Input and Output'!$C$130*'Input and Output'!$C$132*'Input and Output'!$C$134*0.001*(1+'Input and Output'!$C$133)^Workings!N3),0)</f>
        <v>4555.916540005022</v>
      </c>
      <c r="O49" s="165">
        <f>IF('Input and Output'!$C$128="yes",IF(O3&lt;'Input and Output'!$C$129,0,'Input and Output'!$C$36*'Input and Output'!$C$130*'Input and Output'!$C$132*'Input and Output'!$C$134*0.001*(1+'Input and Output'!$C$133)^Workings!O3),0)</f>
        <v>4829.271532405324</v>
      </c>
      <c r="P49" s="165">
        <f>IF('Input and Output'!$C$128="yes",IF(P3&lt;'Input and Output'!$C$129,0,'Input and Output'!$C$36*'Input and Output'!$C$130*'Input and Output'!$C$132*'Input and Output'!$C$134*0.001*(1+'Input and Output'!$C$133)^Workings!P3),0)</f>
        <v>5119.027824349644</v>
      </c>
      <c r="Q49" s="165">
        <f>IF('Input and Output'!$C$128="yes",IF(Q3&lt;'Input and Output'!$C$129,0,'Input and Output'!$C$36*'Input and Output'!$C$130*'Input and Output'!$C$132*'Input and Output'!$C$134*0.001*(1+'Input and Output'!$C$133)^Workings!Q3),0)</f>
        <v>5426.169493810623</v>
      </c>
      <c r="R49" s="165">
        <f>IF('Input and Output'!$C$128="yes",IF(R3&lt;'Input and Output'!$C$129,0,'Input and Output'!$C$36*'Input and Output'!$C$130*'Input and Output'!$C$132*'Input and Output'!$C$134*0.001*(1+'Input and Output'!$C$133)^Workings!R3),0)</f>
        <v>5751.739663439262</v>
      </c>
      <c r="S49" s="165">
        <f>IF('Input and Output'!$C$128="yes",IF(S3&lt;'Input and Output'!$C$129,0,'Input and Output'!$C$36*'Input and Output'!$C$130*'Input and Output'!$C$132*'Input and Output'!$C$134*0.001*(1+'Input and Output'!$C$133)^Workings!S3),0)</f>
        <v>6096.8440432456155</v>
      </c>
      <c r="T49" s="165">
        <f>IF('Input and Output'!$C$128="yes",IF(T3&lt;'Input and Output'!$C$129,0,'Input and Output'!$C$36*'Input and Output'!$C$130*'Input and Output'!$C$132*'Input and Output'!$C$134*0.001*(1+'Input and Output'!$C$133)^Workings!T3),0)</f>
        <v>6462.6546858403535</v>
      </c>
      <c r="U49" s="165">
        <f>IF('Input and Output'!$C$128="yes",IF(U3&lt;'Input and Output'!$C$129,0,'Input and Output'!$C$36*'Input and Output'!$C$130*'Input and Output'!$C$132*'Input and Output'!$C$134*0.001*(1+'Input and Output'!$C$133)^Workings!U3),0)</f>
        <v>6850.4139669907745</v>
      </c>
      <c r="V49" s="165">
        <f>IF('Input and Output'!$C$128="yes",IF(V3&lt;'Input and Output'!$C$129,0,'Input and Output'!$C$36*'Input and Output'!$C$130*'Input and Output'!$C$132*'Input and Output'!$C$134*0.001*(1+'Input and Output'!$C$133)^Workings!V3),0)</f>
        <v>7261.4388050102225</v>
      </c>
      <c r="W49" s="165">
        <f>IF('Input and Output'!$C$128="yes",IF(W3&lt;'Input and Output'!$C$129,0,'Input and Output'!$C$36*'Input and Output'!$C$130*'Input and Output'!$C$132*'Input and Output'!$C$134*0.001*(1+'Input and Output'!$C$133)^Workings!W3),0)</f>
        <v>7697.125133310835</v>
      </c>
      <c r="X49" s="165">
        <f>IF('Input and Output'!$C$128="yes",IF(X3&lt;'Input and Output'!$C$129,0,'Input and Output'!$C$36*'Input and Output'!$C$130*'Input and Output'!$C$132*'Input and Output'!$C$134*0.001*(1+'Input and Output'!$C$133)^Workings!X3),0)</f>
        <v>8158.952641309487</v>
      </c>
      <c r="Y49" s="165">
        <f>IF('Input and Output'!$C$128="yes",IF(Y3&lt;'Input and Output'!$C$129,0,'Input and Output'!$C$36*'Input and Output'!$C$130*'Input and Output'!$C$132*'Input and Output'!$C$134*0.001*(1+'Input and Output'!$C$133)^Workings!Y3),0)</f>
        <v>8648.489799788056</v>
      </c>
      <c r="Z49" s="165">
        <f>IF('Input and Output'!$C$128="yes",IF(Z3&lt;'Input and Output'!$C$129,0,'Input and Output'!$C$36*'Input and Output'!$C$130*'Input and Output'!$C$132*'Input and Output'!$C$134*0.001*(1+'Input and Output'!$C$133)^Workings!Z3),0)</f>
        <v>9167.399187775341</v>
      </c>
      <c r="AA49" s="165">
        <f>IF('Input and Output'!$C$128="yes",IF(AA3&lt;'Input and Output'!$C$129,0,'Input and Output'!$C$36*'Input and Output'!$C$130*'Input and Output'!$C$132*'Input and Output'!$C$134*0.001*(1+'Input and Output'!$C$133)^Workings!AA3),0)</f>
        <v>9717.443139041861</v>
      </c>
      <c r="AB49" s="165">
        <f>IF('Input and Output'!$C$128="yes",IF(AB3&lt;'Input and Output'!$C$129,0,'Input and Output'!$C$36*'Input and Output'!$C$130*'Input and Output'!$C$132*'Input and Output'!$C$134*0.001*(1+'Input and Output'!$C$133)^Workings!AB3),0)</f>
        <v>10300.489727384373</v>
      </c>
      <c r="AC49" s="165">
        <f>IF('Input and Output'!$C$128="yes",IF(AC3&lt;'Input and Output'!$C$129,0,'Input and Output'!$C$36*'Input and Output'!$C$130*'Input and Output'!$C$132*'Input and Output'!$C$134*0.001*(1+'Input and Output'!$C$133)^Workings!AC3),0)</f>
        <v>10918.519111027435</v>
      </c>
      <c r="AD49" s="165">
        <f>IF('Input and Output'!$C$128="yes",IF(AD3&lt;'Input and Output'!$C$129,0,'Input and Output'!$C$36*'Input and Output'!$C$130*'Input and Output'!$C$132*'Input and Output'!$C$134*0.001*(1+'Input and Output'!$C$133)^Workings!AD3),0)</f>
        <v>11573.630257689083</v>
      </c>
      <c r="AE49" s="165">
        <f>IF('Input and Output'!$C$128="yes",IF(AE3&lt;'Input and Output'!$C$129,0,'Input and Output'!$C$36*'Input and Output'!$C$130*'Input and Output'!$C$132*'Input and Output'!$C$134*0.001*(1+'Input and Output'!$C$133)^Workings!AE3),0)</f>
        <v>12268.048073150429</v>
      </c>
      <c r="AF49" s="165">
        <f>IF('Input and Output'!$C$128="yes",IF(AF3&lt;'Input and Output'!$C$129,0,'Input and Output'!$C$36*'Input and Output'!$C$130*'Input and Output'!$C$132*'Input and Output'!$C$134*0.001*(1+'Input and Output'!$C$133)^Workings!AF3),0)</f>
        <v>13004.130957539455</v>
      </c>
      <c r="AG49" s="165">
        <f>IF('Input and Output'!$C$128="yes",IF(AG3&lt;'Input and Output'!$C$129,0,'Input and Output'!$C$36*'Input and Output'!$C$130*'Input and Output'!$C$132*'Input and Output'!$C$134*0.001*(1+'Input and Output'!$C$133)^Workings!AG3),0)</f>
        <v>13784.378814991822</v>
      </c>
      <c r="AH49" s="165">
        <f>IF('Input and Output'!$C$128="yes",IF(AH3&lt;'Input and Output'!$C$129,0,'Input and Output'!$C$36*'Input and Output'!$C$130*'Input and Output'!$C$132*'Input and Output'!$C$134*0.001*(1+'Input and Output'!$C$133)^Workings!AH3),0)</f>
        <v>14611.441543891335</v>
      </c>
      <c r="AI49" s="165">
        <f>IF('Input and Output'!$C$128="yes",IF(AI3&lt;'Input and Output'!$C$129,0,'Input and Output'!$C$36*'Input and Output'!$C$130*'Input and Output'!$C$132*'Input and Output'!$C$134*0.001*(1+'Input and Output'!$C$133)^Workings!AI3),0)</f>
        <v>15488.128036524813</v>
      </c>
      <c r="AJ49" s="165">
        <f>IF('Input and Output'!$C$128="yes",IF(AJ3&lt;'Input and Output'!$C$129,0,'Input and Output'!$C$36*'Input and Output'!$C$130*'Input and Output'!$C$132*'Input and Output'!$C$134*0.001*(1+'Input and Output'!$C$133)^Workings!AJ3),0)</f>
        <v>16417.4157187163</v>
      </c>
      <c r="AK49" s="165">
        <f>IF('Input and Output'!$C$128="yes",IF(AK3&lt;'Input and Output'!$C$129,0,'Input and Output'!$C$36*'Input and Output'!$C$130*'Input and Output'!$C$132*'Input and Output'!$C$134*0.001*(1+'Input and Output'!$C$133)^Workings!AK3),0)</f>
        <v>17402.460661839283</v>
      </c>
      <c r="AL49" s="165">
        <f>IF('Input and Output'!$C$128="yes",IF(AL3&lt;'Input and Output'!$C$129,0,'Input and Output'!$C$36*'Input and Output'!$C$130*'Input and Output'!$C$132*'Input and Output'!$C$134*0.001*(1+'Input and Output'!$C$133)^Workings!AL3),0)</f>
        <v>18446.60830154964</v>
      </c>
      <c r="AM49" s="165"/>
      <c r="AN49" s="165"/>
      <c r="AO49" s="165"/>
      <c r="AP49" s="165"/>
      <c r="AQ49" s="165"/>
    </row>
    <row r="50" spans="1:43" s="153" customFormat="1" ht="11.25">
      <c r="A50" s="94"/>
      <c r="B50" s="94"/>
      <c r="C50" s="104"/>
      <c r="D50" s="169"/>
      <c r="E50" s="169"/>
      <c r="F50" s="169"/>
      <c r="G50" s="169"/>
      <c r="H50" s="245"/>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row>
    <row r="51" spans="1:43" s="172" customFormat="1" ht="11.25">
      <c r="A51" s="101" t="s">
        <v>62</v>
      </c>
      <c r="B51" s="102" t="s">
        <v>57</v>
      </c>
      <c r="C51" s="103">
        <f>SUM(D51:AQ51)</f>
        <v>27633672.587854296</v>
      </c>
      <c r="D51" s="173">
        <f aca="true" t="shared" si="7" ref="D51:AB51">SUM(D42:D49)</f>
        <v>0</v>
      </c>
      <c r="E51" s="173">
        <f t="shared" si="7"/>
        <v>2696.6400000000003</v>
      </c>
      <c r="F51" s="173">
        <f t="shared" si="7"/>
        <v>2858.438400000001</v>
      </c>
      <c r="G51" s="173">
        <f t="shared" si="7"/>
        <v>3029.944704000001</v>
      </c>
      <c r="H51" s="173">
        <f t="shared" si="7"/>
        <v>116903.63403515761</v>
      </c>
      <c r="I51" s="173">
        <f t="shared" si="7"/>
        <v>122849.14828636721</v>
      </c>
      <c r="J51" s="173">
        <f t="shared" si="7"/>
        <v>129097.31698082988</v>
      </c>
      <c r="K51" s="173">
        <f t="shared" si="7"/>
        <v>135663.56311870273</v>
      </c>
      <c r="L51" s="173">
        <f t="shared" si="7"/>
        <v>142564.09662507047</v>
      </c>
      <c r="M51" s="173">
        <f t="shared" si="7"/>
        <v>1342956.973990646</v>
      </c>
      <c r="N51" s="173">
        <f t="shared" si="7"/>
        <v>157437.04338436463</v>
      </c>
      <c r="O51" s="173">
        <f t="shared" si="7"/>
        <v>165446.18339508952</v>
      </c>
      <c r="P51" s="173">
        <f t="shared" si="7"/>
        <v>173863.15542728567</v>
      </c>
      <c r="Q51" s="173">
        <f t="shared" si="7"/>
        <v>182708.74995345523</v>
      </c>
      <c r="R51" s="173">
        <f t="shared" si="7"/>
        <v>192004.81869434187</v>
      </c>
      <c r="S51" s="173">
        <f t="shared" si="7"/>
        <v>201774.32887311192</v>
      </c>
      <c r="T51" s="173">
        <f t="shared" si="7"/>
        <v>212041.42024809786</v>
      </c>
      <c r="U51" s="173">
        <f t="shared" si="7"/>
        <v>222831.46506669853</v>
      </c>
      <c r="V51" s="173">
        <f t="shared" si="7"/>
        <v>234171.13109036317</v>
      </c>
      <c r="W51" s="173">
        <f t="shared" si="7"/>
        <v>1706838.4966007464</v>
      </c>
      <c r="X51" s="173">
        <f t="shared" si="7"/>
        <v>258612.87628567987</v>
      </c>
      <c r="Y51" s="173">
        <f t="shared" si="7"/>
        <v>271775.3819805635</v>
      </c>
      <c r="Z51" s="173">
        <f t="shared" si="7"/>
        <v>285608.51211289805</v>
      </c>
      <c r="AA51" s="173">
        <f t="shared" si="7"/>
        <v>300146.4763781758</v>
      </c>
      <c r="AB51" s="173">
        <f t="shared" si="7"/>
        <v>4482567.611553389</v>
      </c>
      <c r="AC51" s="173">
        <f aca="true" t="shared" si="8" ref="AC51:AL51">SUM(AC42:AC49)</f>
        <v>331482.5733935058</v>
      </c>
      <c r="AD51" s="173">
        <f t="shared" si="8"/>
        <v>348358.22568686097</v>
      </c>
      <c r="AE51" s="173">
        <f t="shared" si="8"/>
        <v>366093.9440310384</v>
      </c>
      <c r="AF51" s="173">
        <f t="shared" si="8"/>
        <v>384733.6172508965</v>
      </c>
      <c r="AG51" s="173">
        <f t="shared" si="8"/>
        <v>404323.3771147927</v>
      </c>
      <c r="AH51" s="173">
        <f t="shared" si="8"/>
        <v>424911.71315766213</v>
      </c>
      <c r="AI51" s="173">
        <f t="shared" si="8"/>
        <v>446549.59339395247</v>
      </c>
      <c r="AJ51" s="173">
        <f t="shared" si="8"/>
        <v>469290.5912232297</v>
      </c>
      <c r="AK51" s="173">
        <f t="shared" si="8"/>
        <v>493191.01884688105</v>
      </c>
      <c r="AL51" s="173">
        <f t="shared" si="8"/>
        <v>12918290.526570445</v>
      </c>
      <c r="AM51" s="173"/>
      <c r="AN51" s="173"/>
      <c r="AO51" s="173"/>
      <c r="AP51" s="173"/>
      <c r="AQ51" s="173"/>
    </row>
    <row r="52" spans="1:33" s="172" customFormat="1" ht="11.25">
      <c r="A52" s="101"/>
      <c r="B52" s="86"/>
      <c r="C52" s="107"/>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row>
    <row r="53" spans="1:43" s="172" customFormat="1" ht="11.25">
      <c r="A53" s="96" t="s">
        <v>6</v>
      </c>
      <c r="B53" s="96"/>
      <c r="C53" s="105"/>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row>
    <row r="54" spans="1:43" s="172" customFormat="1" ht="11.25">
      <c r="A54" s="101"/>
      <c r="B54" s="86"/>
      <c r="C54" s="107"/>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row>
    <row r="55" spans="1:43" s="172" customFormat="1" ht="11.25">
      <c r="A55" s="94" t="s">
        <v>304</v>
      </c>
      <c r="B55" s="86" t="s">
        <v>57</v>
      </c>
      <c r="C55" s="99">
        <f>SUM(D55:AG55)</f>
        <v>9475443.145699512</v>
      </c>
      <c r="D55" s="164">
        <f aca="true" t="shared" si="9" ref="D55:AL55">D19+D39+D51</f>
        <v>-547964.25225</v>
      </c>
      <c r="E55" s="164">
        <f t="shared" si="9"/>
        <v>-21432.307340749998</v>
      </c>
      <c r="F55" s="164">
        <f t="shared" si="9"/>
        <v>-16422.346282062746</v>
      </c>
      <c r="G55" s="164">
        <f t="shared" si="9"/>
        <v>-17349.844704940322</v>
      </c>
      <c r="H55" s="164">
        <f t="shared" si="9"/>
        <v>61717.61618163274</v>
      </c>
      <c r="I55" s="164">
        <f t="shared" si="9"/>
        <v>64517.52741519142</v>
      </c>
      <c r="J55" s="164">
        <f t="shared" si="9"/>
        <v>67440.79371999708</v>
      </c>
      <c r="K55" s="164">
        <f t="shared" si="9"/>
        <v>70492.61803200244</v>
      </c>
      <c r="L55" s="164">
        <f t="shared" si="9"/>
        <v>82036.57251401056</v>
      </c>
      <c r="M55" s="164">
        <f t="shared" si="9"/>
        <v>1271015.2027577392</v>
      </c>
      <c r="N55" s="164">
        <f t="shared" si="9"/>
        <v>89840.3280460452</v>
      </c>
      <c r="O55" s="164">
        <f t="shared" si="9"/>
        <v>93996.45528248585</v>
      </c>
      <c r="P55" s="164">
        <f t="shared" si="9"/>
        <v>98340.79281226361</v>
      </c>
      <c r="Q55" s="164">
        <f t="shared" si="9"/>
        <v>102881.61266937692</v>
      </c>
      <c r="R55" s="164">
        <f t="shared" si="9"/>
        <v>107627.53458507109</v>
      </c>
      <c r="S55" s="164">
        <f t="shared" si="9"/>
        <v>112587.53956961268</v>
      </c>
      <c r="T55" s="164">
        <f t="shared" si="9"/>
        <v>117770.98395429918</v>
      </c>
      <c r="U55" s="164">
        <f t="shared" si="9"/>
        <v>123187.61390415333</v>
      </c>
      <c r="V55" s="164">
        <f t="shared" si="9"/>
        <v>128847.58041155286</v>
      </c>
      <c r="W55" s="164">
        <f t="shared" si="9"/>
        <v>1588904.4771458956</v>
      </c>
      <c r="X55" s="164">
        <f t="shared" si="9"/>
        <v>140940.24461332976</v>
      </c>
      <c r="Y55" s="164">
        <f t="shared" si="9"/>
        <v>147395.41030288942</v>
      </c>
      <c r="Z55" s="164">
        <f t="shared" si="9"/>
        <v>154138.88204959658</v>
      </c>
      <c r="AA55" s="164">
        <f t="shared" si="9"/>
        <v>161183.0774012661</v>
      </c>
      <c r="AB55" s="164">
        <f t="shared" si="9"/>
        <v>4328726.909682293</v>
      </c>
      <c r="AC55" s="164">
        <f t="shared" si="9"/>
        <v>176225.85484995248</v>
      </c>
      <c r="AD55" s="164">
        <f t="shared" si="9"/>
        <v>184251.8741863251</v>
      </c>
      <c r="AE55" s="164">
        <f t="shared" si="9"/>
        <v>192633.53049497196</v>
      </c>
      <c r="AF55" s="164">
        <f t="shared" si="9"/>
        <v>201385.9601432743</v>
      </c>
      <c r="AG55" s="164">
        <f t="shared" si="9"/>
        <v>210524.903552036</v>
      </c>
      <c r="AH55" s="164">
        <f t="shared" si="9"/>
        <v>220066.72660182838</v>
      </c>
      <c r="AI55" s="164">
        <f t="shared" si="9"/>
        <v>230028.44260443613</v>
      </c>
      <c r="AJ55" s="164">
        <f t="shared" si="9"/>
        <v>240427.73483871095</v>
      </c>
      <c r="AK55" s="164">
        <f t="shared" si="9"/>
        <v>251282.9796484447</v>
      </c>
      <c r="AL55" s="164">
        <f t="shared" si="9"/>
        <v>12650484.01915527</v>
      </c>
      <c r="AM55" s="164"/>
      <c r="AN55" s="164"/>
      <c r="AO55" s="164"/>
      <c r="AP55" s="164"/>
      <c r="AQ55" s="164"/>
    </row>
    <row r="56" spans="1:43" s="172" customFormat="1" ht="11.25">
      <c r="A56" s="94" t="s">
        <v>303</v>
      </c>
      <c r="B56" s="86" t="s">
        <v>57</v>
      </c>
      <c r="C56" s="99">
        <f>SUM(D56:AG56)</f>
        <v>-4330189.8408731455</v>
      </c>
      <c r="D56" s="164">
        <v>0</v>
      </c>
      <c r="E56" s="164">
        <f>IF(D57&lt;0,D57,0)</f>
        <v>-547964.25225</v>
      </c>
      <c r="F56" s="164">
        <f aca="true" t="shared" si="10" ref="F56:AL56">IF(E57&lt;0,E57,0)</f>
        <v>-569396.55959075</v>
      </c>
      <c r="G56" s="164">
        <f t="shared" si="10"/>
        <v>-585818.9058728127</v>
      </c>
      <c r="H56" s="164">
        <f t="shared" si="10"/>
        <v>-603168.7505777531</v>
      </c>
      <c r="I56" s="164">
        <f t="shared" si="10"/>
        <v>-541451.1343961203</v>
      </c>
      <c r="J56" s="164">
        <f t="shared" si="10"/>
        <v>-476933.6069809289</v>
      </c>
      <c r="K56" s="164">
        <f t="shared" si="10"/>
        <v>-409492.8132609319</v>
      </c>
      <c r="L56" s="164">
        <f t="shared" si="10"/>
        <v>-339000.1952289294</v>
      </c>
      <c r="M56" s="164">
        <f t="shared" si="10"/>
        <v>-256963.62271491883</v>
      </c>
      <c r="N56" s="164">
        <f t="shared" si="10"/>
        <v>0</v>
      </c>
      <c r="O56" s="164">
        <f t="shared" si="10"/>
        <v>0</v>
      </c>
      <c r="P56" s="164">
        <f t="shared" si="10"/>
        <v>0</v>
      </c>
      <c r="Q56" s="164">
        <f t="shared" si="10"/>
        <v>0</v>
      </c>
      <c r="R56" s="164">
        <f t="shared" si="10"/>
        <v>0</v>
      </c>
      <c r="S56" s="164">
        <f t="shared" si="10"/>
        <v>0</v>
      </c>
      <c r="T56" s="164">
        <f t="shared" si="10"/>
        <v>0</v>
      </c>
      <c r="U56" s="164">
        <f t="shared" si="10"/>
        <v>0</v>
      </c>
      <c r="V56" s="164">
        <f t="shared" si="10"/>
        <v>0</v>
      </c>
      <c r="W56" s="164">
        <f t="shared" si="10"/>
        <v>0</v>
      </c>
      <c r="X56" s="164">
        <f t="shared" si="10"/>
        <v>0</v>
      </c>
      <c r="Y56" s="164">
        <f t="shared" si="10"/>
        <v>0</v>
      </c>
      <c r="Z56" s="164">
        <f t="shared" si="10"/>
        <v>0</v>
      </c>
      <c r="AA56" s="164">
        <f t="shared" si="10"/>
        <v>0</v>
      </c>
      <c r="AB56" s="164">
        <f t="shared" si="10"/>
        <v>0</v>
      </c>
      <c r="AC56" s="164">
        <f t="shared" si="10"/>
        <v>0</v>
      </c>
      <c r="AD56" s="164">
        <f t="shared" si="10"/>
        <v>0</v>
      </c>
      <c r="AE56" s="164">
        <f t="shared" si="10"/>
        <v>0</v>
      </c>
      <c r="AF56" s="164">
        <f t="shared" si="10"/>
        <v>0</v>
      </c>
      <c r="AG56" s="164">
        <f t="shared" si="10"/>
        <v>0</v>
      </c>
      <c r="AH56" s="164">
        <f t="shared" si="10"/>
        <v>0</v>
      </c>
      <c r="AI56" s="164">
        <f t="shared" si="10"/>
        <v>0</v>
      </c>
      <c r="AJ56" s="164">
        <f t="shared" si="10"/>
        <v>0</v>
      </c>
      <c r="AK56" s="164">
        <f t="shared" si="10"/>
        <v>0</v>
      </c>
      <c r="AL56" s="164">
        <f t="shared" si="10"/>
        <v>0</v>
      </c>
      <c r="AM56" s="164"/>
      <c r="AN56" s="164"/>
      <c r="AO56" s="164"/>
      <c r="AP56" s="164"/>
      <c r="AQ56" s="164"/>
    </row>
    <row r="57" spans="1:43" s="172" customFormat="1" ht="11.25">
      <c r="A57" s="94" t="s">
        <v>108</v>
      </c>
      <c r="B57" s="86" t="s">
        <v>57</v>
      </c>
      <c r="C57" s="99">
        <f>SUM(D57:AG57)</f>
        <v>5145253.304826368</v>
      </c>
      <c r="D57" s="164">
        <f>SUM(D55:D56)</f>
        <v>-547964.25225</v>
      </c>
      <c r="E57" s="164">
        <f>SUM(E55:E56)</f>
        <v>-569396.55959075</v>
      </c>
      <c r="F57" s="164">
        <f>SUM(F55:F56)</f>
        <v>-585818.9058728127</v>
      </c>
      <c r="G57" s="164">
        <f aca="true" t="shared" si="11" ref="G57:M57">SUM(G55:G56)</f>
        <v>-603168.7505777531</v>
      </c>
      <c r="H57" s="164">
        <f t="shared" si="11"/>
        <v>-541451.1343961203</v>
      </c>
      <c r="I57" s="164">
        <f t="shared" si="11"/>
        <v>-476933.6069809289</v>
      </c>
      <c r="J57" s="164">
        <f t="shared" si="11"/>
        <v>-409492.8132609319</v>
      </c>
      <c r="K57" s="164">
        <f t="shared" si="11"/>
        <v>-339000.1952289294</v>
      </c>
      <c r="L57" s="164">
        <f t="shared" si="11"/>
        <v>-256963.62271491883</v>
      </c>
      <c r="M57" s="164">
        <f t="shared" si="11"/>
        <v>1014051.5800428204</v>
      </c>
      <c r="N57" s="164">
        <f aca="true" t="shared" si="12" ref="N57:AL57">SUM(N55:N56)</f>
        <v>89840.3280460452</v>
      </c>
      <c r="O57" s="164">
        <f t="shared" si="12"/>
        <v>93996.45528248585</v>
      </c>
      <c r="P57" s="164">
        <f t="shared" si="12"/>
        <v>98340.79281226361</v>
      </c>
      <c r="Q57" s="164">
        <f t="shared" si="12"/>
        <v>102881.61266937692</v>
      </c>
      <c r="R57" s="164">
        <f t="shared" si="12"/>
        <v>107627.53458507109</v>
      </c>
      <c r="S57" s="164">
        <f t="shared" si="12"/>
        <v>112587.53956961268</v>
      </c>
      <c r="T57" s="164">
        <f t="shared" si="12"/>
        <v>117770.98395429918</v>
      </c>
      <c r="U57" s="164">
        <f t="shared" si="12"/>
        <v>123187.61390415333</v>
      </c>
      <c r="V57" s="164">
        <f t="shared" si="12"/>
        <v>128847.58041155286</v>
      </c>
      <c r="W57" s="164">
        <f t="shared" si="12"/>
        <v>1588904.4771458956</v>
      </c>
      <c r="X57" s="164">
        <f t="shared" si="12"/>
        <v>140940.24461332976</v>
      </c>
      <c r="Y57" s="164">
        <f t="shared" si="12"/>
        <v>147395.41030288942</v>
      </c>
      <c r="Z57" s="164">
        <f t="shared" si="12"/>
        <v>154138.88204959658</v>
      </c>
      <c r="AA57" s="164">
        <f t="shared" si="12"/>
        <v>161183.0774012661</v>
      </c>
      <c r="AB57" s="164">
        <f t="shared" si="12"/>
        <v>4328726.909682293</v>
      </c>
      <c r="AC57" s="164">
        <f t="shared" si="12"/>
        <v>176225.85484995248</v>
      </c>
      <c r="AD57" s="164">
        <f t="shared" si="12"/>
        <v>184251.8741863251</v>
      </c>
      <c r="AE57" s="164">
        <f t="shared" si="12"/>
        <v>192633.53049497196</v>
      </c>
      <c r="AF57" s="164">
        <f t="shared" si="12"/>
        <v>201385.9601432743</v>
      </c>
      <c r="AG57" s="164">
        <f t="shared" si="12"/>
        <v>210524.903552036</v>
      </c>
      <c r="AH57" s="164">
        <f t="shared" si="12"/>
        <v>220066.72660182838</v>
      </c>
      <c r="AI57" s="164">
        <f t="shared" si="12"/>
        <v>230028.44260443613</v>
      </c>
      <c r="AJ57" s="164">
        <f t="shared" si="12"/>
        <v>240427.73483871095</v>
      </c>
      <c r="AK57" s="164">
        <f t="shared" si="12"/>
        <v>251282.9796484447</v>
      </c>
      <c r="AL57" s="164">
        <f t="shared" si="12"/>
        <v>12650484.01915527</v>
      </c>
      <c r="AM57" s="164"/>
      <c r="AN57" s="164"/>
      <c r="AO57" s="164"/>
      <c r="AP57" s="164"/>
      <c r="AQ57" s="164"/>
    </row>
    <row r="58" spans="1:43" s="172" customFormat="1" ht="11.25">
      <c r="A58" s="101" t="s">
        <v>109</v>
      </c>
      <c r="B58" s="102" t="s">
        <v>57</v>
      </c>
      <c r="C58" s="99">
        <f>SUM(D58:AG58)</f>
        <v>-1895088.6291399028</v>
      </c>
      <c r="D58" s="167">
        <f>IF(D55&lt;0,0,D55*'Input and Output'!$C$152*-1)</f>
        <v>0</v>
      </c>
      <c r="E58" s="167">
        <f>IF(E57&lt;0,0,E57*'Input and Output'!$C$152*-1)</f>
        <v>0</v>
      </c>
      <c r="F58" s="167">
        <f>IF(F57&lt;0,0,F57*'Input and Output'!$C$152*-1)</f>
        <v>0</v>
      </c>
      <c r="G58" s="167">
        <f>IF(G57&lt;0,0,G57*'Input and Output'!$C$152*-1)</f>
        <v>0</v>
      </c>
      <c r="H58" s="167">
        <f>IF(H57&lt;0,0,H57*'Input and Output'!$C$152*-1)</f>
        <v>0</v>
      </c>
      <c r="I58" s="167">
        <f>IF(I57&lt;0,0,I57*'Input and Output'!$C$152*-1)</f>
        <v>0</v>
      </c>
      <c r="J58" s="167">
        <f>IF(J57&lt;0,0,J57*'Input and Output'!$C$152*-1)</f>
        <v>0</v>
      </c>
      <c r="K58" s="167">
        <f>IF(K57&lt;0,0,K57*'Input and Output'!$C$152*-1)</f>
        <v>0</v>
      </c>
      <c r="L58" s="167">
        <f>IF(L57&lt;0,0,L57*'Input and Output'!$C$152*-1)</f>
        <v>0</v>
      </c>
      <c r="M58" s="167">
        <f>IF(M57&lt;0,0,M57*'Input and Output'!$C$152*-1)</f>
        <v>-202810.31600856408</v>
      </c>
      <c r="N58" s="167">
        <f>IF(N57&lt;0,0,N57*'Input and Output'!$C$152*-1)</f>
        <v>-17968.06560920904</v>
      </c>
      <c r="O58" s="167">
        <f>IF(O57&lt;0,0,O57*'Input and Output'!$C$152*-1)</f>
        <v>-18799.29105649717</v>
      </c>
      <c r="P58" s="167">
        <f>IF(P57&lt;0,0,P57*'Input and Output'!$C$152*-1)</f>
        <v>-19668.15856245272</v>
      </c>
      <c r="Q58" s="167">
        <f>IF(Q57&lt;0,0,Q57*'Input and Output'!$C$152*-1)</f>
        <v>-20576.322533875384</v>
      </c>
      <c r="R58" s="167">
        <f>IF(R57&lt;0,0,R57*'Input and Output'!$C$152*-1)</f>
        <v>-21525.50691701422</v>
      </c>
      <c r="S58" s="167">
        <f>IF(S57&lt;0,0,S57*'Input and Output'!$C$152*-1)</f>
        <v>-22517.507913922538</v>
      </c>
      <c r="T58" s="167">
        <f>IF(T57&lt;0,0,T57*'Input and Output'!$C$152*-1)</f>
        <v>-23554.196790859838</v>
      </c>
      <c r="U58" s="167">
        <f>IF(U57&lt;0,0,U57*'Input and Output'!$C$152*-1)</f>
        <v>-24637.522780830666</v>
      </c>
      <c r="V58" s="167">
        <f>IF(V57&lt;0,0,V57*'Input and Output'!$C$152*-1)</f>
        <v>-25769.516082310573</v>
      </c>
      <c r="W58" s="167">
        <f>IF(W57&lt;0,0,W57*'Input and Output'!$C$152*-1)</f>
        <v>-317780.89542917913</v>
      </c>
      <c r="X58" s="167">
        <f>IF(X57&lt;0,0,X57*'Input and Output'!$C$152*-1)</f>
        <v>-28188.048922665956</v>
      </c>
      <c r="Y58" s="167">
        <f>IF(Y57&lt;0,0,Y57*'Input and Output'!$C$152*-1)</f>
        <v>-29479.082060577886</v>
      </c>
      <c r="Z58" s="167">
        <f>IF(Z57&lt;0,0,Z57*'Input and Output'!$C$152*-1)</f>
        <v>-30827.776409919315</v>
      </c>
      <c r="AA58" s="167">
        <f>IF(AA57&lt;0,0,AA57*'Input and Output'!$C$152*-1)</f>
        <v>-32236.615480253226</v>
      </c>
      <c r="AB58" s="167">
        <f>IF(AB57&lt;0,0,AB57*'Input and Output'!$C$152*-1)</f>
        <v>-865745.3819364588</v>
      </c>
      <c r="AC58" s="167">
        <f>IF(AC57&lt;0,0,AC57*'Input and Output'!$C$152*-1)</f>
        <v>-35245.1709699905</v>
      </c>
      <c r="AD58" s="167">
        <f>IF(AD57&lt;0,0,AD57*'Input and Output'!$C$152*-1)</f>
        <v>-36850.37483726502</v>
      </c>
      <c r="AE58" s="167">
        <f>IF(AE57&lt;0,0,AE57*'Input and Output'!$C$152*-1)</f>
        <v>-38526.70609899439</v>
      </c>
      <c r="AF58" s="167">
        <f>IF(AF57&lt;0,0,AF57*'Input and Output'!$C$152*-1)</f>
        <v>-40277.19202865486</v>
      </c>
      <c r="AG58" s="167">
        <f>IF(AG57&lt;0,0,AG57*'Input and Output'!$C$152*-1)</f>
        <v>-42104.9807104072</v>
      </c>
      <c r="AH58" s="167">
        <f>IF(AH57&lt;0,0,AH57*'Input and Output'!$C$152*-1)</f>
        <v>-44013.34532036568</v>
      </c>
      <c r="AI58" s="167">
        <f>IF(AI57&lt;0,0,AI57*'Input and Output'!$C$152*-1)</f>
        <v>-46005.688520887226</v>
      </c>
      <c r="AJ58" s="167">
        <f>IF(AJ57&lt;0,0,AJ57*'Input and Output'!$C$152*-1)</f>
        <v>-48085.54696774219</v>
      </c>
      <c r="AK58" s="167">
        <f>IF(AK57&lt;0,0,AK57*'Input and Output'!$C$152*-1)</f>
        <v>-50256.59592968895</v>
      </c>
      <c r="AL58" s="167">
        <f>IF(AL57&lt;0,0,AL57*'Input and Output'!$C$152*-1)</f>
        <v>-2530096.803831054</v>
      </c>
      <c r="AM58" s="167"/>
      <c r="AN58" s="167"/>
      <c r="AO58" s="167"/>
      <c r="AP58" s="167"/>
      <c r="AQ58" s="167"/>
    </row>
    <row r="59" spans="1:43" s="153" customFormat="1" ht="11.25">
      <c r="A59" s="94"/>
      <c r="B59" s="94"/>
      <c r="C59" s="104"/>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row>
    <row r="60" spans="1:43" s="172" customFormat="1" ht="11.25">
      <c r="A60" s="96" t="s">
        <v>63</v>
      </c>
      <c r="B60" s="96"/>
      <c r="C60" s="108">
        <f>SUM(D60:AG60)</f>
        <v>7580354.516559611</v>
      </c>
      <c r="D60" s="174">
        <f aca="true" t="shared" si="13" ref="D60:AL60">D19+D39+D51+D58</f>
        <v>-547964.25225</v>
      </c>
      <c r="E60" s="174">
        <f t="shared" si="13"/>
        <v>-21432.307340749998</v>
      </c>
      <c r="F60" s="174">
        <f t="shared" si="13"/>
        <v>-16422.346282062746</v>
      </c>
      <c r="G60" s="174">
        <f t="shared" si="13"/>
        <v>-17349.844704940322</v>
      </c>
      <c r="H60" s="174">
        <f t="shared" si="13"/>
        <v>61717.61618163274</v>
      </c>
      <c r="I60" s="174">
        <f t="shared" si="13"/>
        <v>64517.52741519142</v>
      </c>
      <c r="J60" s="174">
        <f t="shared" si="13"/>
        <v>67440.79371999708</v>
      </c>
      <c r="K60" s="174">
        <f t="shared" si="13"/>
        <v>70492.61803200244</v>
      </c>
      <c r="L60" s="174">
        <f t="shared" si="13"/>
        <v>82036.57251401056</v>
      </c>
      <c r="M60" s="174">
        <f t="shared" si="13"/>
        <v>1068204.8867491751</v>
      </c>
      <c r="N60" s="174">
        <f t="shared" si="13"/>
        <v>71872.26243683616</v>
      </c>
      <c r="O60" s="174">
        <f t="shared" si="13"/>
        <v>75197.16422598869</v>
      </c>
      <c r="P60" s="174">
        <f t="shared" si="13"/>
        <v>78672.63424981089</v>
      </c>
      <c r="Q60" s="174">
        <f t="shared" si="13"/>
        <v>82305.29013550153</v>
      </c>
      <c r="R60" s="174">
        <f t="shared" si="13"/>
        <v>86102.02766805686</v>
      </c>
      <c r="S60" s="174">
        <f t="shared" si="13"/>
        <v>90070.03165569014</v>
      </c>
      <c r="T60" s="174">
        <f t="shared" si="13"/>
        <v>94216.78716343935</v>
      </c>
      <c r="U60" s="174">
        <f t="shared" si="13"/>
        <v>98550.09112332267</v>
      </c>
      <c r="V60" s="174">
        <f t="shared" si="13"/>
        <v>103078.06432924229</v>
      </c>
      <c r="W60" s="174">
        <f t="shared" si="13"/>
        <v>1271123.5817167165</v>
      </c>
      <c r="X60" s="174">
        <f t="shared" si="13"/>
        <v>112752.19569066381</v>
      </c>
      <c r="Y60" s="174">
        <f t="shared" si="13"/>
        <v>117916.32824231153</v>
      </c>
      <c r="Z60" s="174">
        <f t="shared" si="13"/>
        <v>123311.10563967726</v>
      </c>
      <c r="AA60" s="174">
        <f t="shared" si="13"/>
        <v>128946.46192101289</v>
      </c>
      <c r="AB60" s="174">
        <f t="shared" si="13"/>
        <v>3462981.5277458346</v>
      </c>
      <c r="AC60" s="174">
        <f t="shared" si="13"/>
        <v>140980.683879962</v>
      </c>
      <c r="AD60" s="174">
        <f t="shared" si="13"/>
        <v>147401.49934906006</v>
      </c>
      <c r="AE60" s="174">
        <f t="shared" si="13"/>
        <v>154106.82439597757</v>
      </c>
      <c r="AF60" s="174">
        <f t="shared" si="13"/>
        <v>161108.76811461945</v>
      </c>
      <c r="AG60" s="174">
        <f t="shared" si="13"/>
        <v>168419.9228416288</v>
      </c>
      <c r="AH60" s="174">
        <f t="shared" si="13"/>
        <v>176053.3812814627</v>
      </c>
      <c r="AI60" s="174">
        <f t="shared" si="13"/>
        <v>184022.7540835489</v>
      </c>
      <c r="AJ60" s="174">
        <f t="shared" si="13"/>
        <v>192342.18787096877</v>
      </c>
      <c r="AK60" s="174">
        <f t="shared" si="13"/>
        <v>201026.38371875577</v>
      </c>
      <c r="AL60" s="174">
        <f t="shared" si="13"/>
        <v>10120387.215324216</v>
      </c>
      <c r="AM60" s="174"/>
      <c r="AN60" s="174"/>
      <c r="AO60" s="174"/>
      <c r="AP60" s="174"/>
      <c r="AQ60" s="174"/>
    </row>
    <row r="61" spans="1:43" s="172" customFormat="1" ht="11.25">
      <c r="A61" s="96" t="s">
        <v>68</v>
      </c>
      <c r="B61" s="96"/>
      <c r="C61" s="108">
        <f>SUM(D61:AG61)</f>
        <v>854575.1994438537</v>
      </c>
      <c r="D61" s="174">
        <f>D60/(1+'Input and Output'!$C$30)^Workings!D3</f>
        <v>-498149.3202272727</v>
      </c>
      <c r="E61" s="174">
        <f>E60/(1+'Input and Output'!$C$30)^Workings!E3</f>
        <v>-17712.650694834705</v>
      </c>
      <c r="F61" s="174">
        <f>F60/(1+'Input and Output'!$C$30)^Workings!F3</f>
        <v>-12338.351827244735</v>
      </c>
      <c r="G61" s="174">
        <f>G60/(1+'Input and Output'!$C$30)^Workings!G3</f>
        <v>-11850.177381968662</v>
      </c>
      <c r="H61" s="174">
        <f>H60/(1+'Input and Output'!$C$30)^Workings!H3</f>
        <v>38321.78389555651</v>
      </c>
      <c r="I61" s="174">
        <f>I60/(1+'Input and Output'!$C$30)^Workings!I3</f>
        <v>36418.462257405416</v>
      </c>
      <c r="J61" s="174">
        <f>J60/(1+'Input and Output'!$C$30)^Workings!J3</f>
        <v>34607.790797338945</v>
      </c>
      <c r="K61" s="174">
        <f>K60/(1+'Input and Output'!$C$30)^Workings!K3</f>
        <v>32885.326562234855</v>
      </c>
      <c r="L61" s="174">
        <f>L60/(1+'Input and Output'!$C$30)^Workings!L3</f>
        <v>34791.51502263352</v>
      </c>
      <c r="M61" s="174">
        <f>M60/(1+'Input and Output'!$C$30)^Workings!M3</f>
        <v>411839.22582197713</v>
      </c>
      <c r="N61" s="174">
        <f>N60/(1+'Input and Output'!$C$30)^Workings!N3</f>
        <v>25190.789526036693</v>
      </c>
      <c r="O61" s="174">
        <f>O60/(1+'Input and Output'!$C$30)^Workings!O3</f>
        <v>23960.133926826747</v>
      </c>
      <c r="P61" s="174">
        <f>P60/(1+'Input and Output'!$C$30)^Workings!P3</f>
        <v>22788.65980222277</v>
      </c>
      <c r="Q61" s="174">
        <f>Q60/(1+'Input and Output'!$C$30)^Workings!Q3</f>
        <v>21673.55528740743</v>
      </c>
      <c r="R61" s="174">
        <f>R60/(1+'Input and Output'!$C$30)^Workings!R3</f>
        <v>20612.14085829654</v>
      </c>
      <c r="S61" s="174">
        <f>S60/(1+'Input and Output'!$C$30)^Workings!S3</f>
        <v>19601.863149819164</v>
      </c>
      <c r="T61" s="174">
        <f>T60/(1+'Input and Output'!$C$30)^Workings!T3</f>
        <v>18640.28906118515</v>
      </c>
      <c r="U61" s="174">
        <f>U60/(1+'Input and Output'!$C$30)^Workings!U3</f>
        <v>17725.100134883553</v>
      </c>
      <c r="V61" s="174">
        <f>V60/(1+'Input and Output'!$C$30)^Workings!V3</f>
        <v>16854.087196765086</v>
      </c>
      <c r="W61" s="174">
        <f>W60/(1+'Input and Output'!$C$30)^Workings!W3</f>
        <v>188944.42085341658</v>
      </c>
      <c r="X61" s="174">
        <f>X60/(1+'Input and Output'!$C$30)^Workings!X3</f>
        <v>15236.268577407694</v>
      </c>
      <c r="Y61" s="174">
        <f>Y60/(1+'Input and Output'!$C$30)^Workings!Y3</f>
        <v>14485.546143159469</v>
      </c>
      <c r="Z61" s="174">
        <f>Z60/(1+'Input and Output'!$C$30)^Workings!Z3</f>
        <v>13771.157113411002</v>
      </c>
      <c r="AA61" s="174">
        <f>AA60/(1+'Input and Output'!$C$30)^Workings!AA3</f>
        <v>13091.366655840733</v>
      </c>
      <c r="AB61" s="174">
        <f>AB60/(1+'Input and Output'!$C$30)^Workings!AB3</f>
        <v>319619.33677203604</v>
      </c>
      <c r="AC61" s="174">
        <f>AC60/(1+'Input and Output'!$C$30)^Workings!AC3</f>
        <v>11829.048129442013</v>
      </c>
      <c r="AD61" s="174">
        <f>AD60/(1+'Input and Output'!$C$30)^Workings!AD3</f>
        <v>11243.445053898638</v>
      </c>
      <c r="AE61" s="174">
        <f>AE60/(1+'Input and Output'!$C$30)^Workings!AE3</f>
        <v>10686.283383564443</v>
      </c>
      <c r="AF61" s="174">
        <f>AF60/(1+'Input and Output'!$C$30)^Workings!AF3</f>
        <v>10156.201467260398</v>
      </c>
      <c r="AG61" s="174">
        <f>AG60/(1+'Input and Output'!$C$30)^Workings!AG3</f>
        <v>9651.90212514808</v>
      </c>
      <c r="AH61" s="174">
        <f>AH60/(1+'Input and Output'!$C$30)^Workings!AH3</f>
        <v>9172.149622745046</v>
      </c>
      <c r="AI61" s="174">
        <f>AI60/(1+'Input and Output'!$C$30)^Workings!AI3</f>
        <v>8715.766785970898</v>
      </c>
      <c r="AJ61" s="174">
        <f>AJ60/(1+'Input and Output'!$C$30)^Workings!AJ3</f>
        <v>8281.632250688712</v>
      </c>
      <c r="AK61" s="174">
        <f>AK60/(1+'Input and Output'!$C$30)^Workings!AK3</f>
        <v>7868.677840507722</v>
      </c>
      <c r="AL61" s="174">
        <f>AL60/(1+'Input and Output'!$C$30)^Workings!AL3</f>
        <v>360124.898422156</v>
      </c>
      <c r="AM61" s="174"/>
      <c r="AN61" s="174"/>
      <c r="AO61" s="174"/>
      <c r="AP61" s="174"/>
      <c r="AQ61" s="174"/>
    </row>
    <row r="62" spans="1:43" s="172" customFormat="1" ht="11.25">
      <c r="A62" s="96" t="s">
        <v>75</v>
      </c>
      <c r="B62" s="96"/>
      <c r="C62" s="108">
        <f>SUM(D62:AG62)</f>
        <v>66038770.220109075</v>
      </c>
      <c r="D62" s="174">
        <f>D60</f>
        <v>-547964.25225</v>
      </c>
      <c r="E62" s="174">
        <f>D62+E60</f>
        <v>-569396.55959075</v>
      </c>
      <c r="F62" s="174">
        <f aca="true" t="shared" si="14" ref="F62:L62">E62+F60</f>
        <v>-585818.9058728127</v>
      </c>
      <c r="G62" s="174">
        <f t="shared" si="14"/>
        <v>-603168.7505777531</v>
      </c>
      <c r="H62" s="174">
        <f t="shared" si="14"/>
        <v>-541451.1343961203</v>
      </c>
      <c r="I62" s="174">
        <f t="shared" si="14"/>
        <v>-476933.6069809289</v>
      </c>
      <c r="J62" s="174">
        <f t="shared" si="14"/>
        <v>-409492.8132609319</v>
      </c>
      <c r="K62" s="174">
        <f t="shared" si="14"/>
        <v>-339000.1952289294</v>
      </c>
      <c r="L62" s="174">
        <f t="shared" si="14"/>
        <v>-256963.62271491883</v>
      </c>
      <c r="M62" s="174">
        <f aca="true" t="shared" si="15" ref="M62:AB62">L62+M60</f>
        <v>811241.2640342563</v>
      </c>
      <c r="N62" s="174">
        <f t="shared" si="15"/>
        <v>883113.5264710925</v>
      </c>
      <c r="O62" s="174">
        <f t="shared" si="15"/>
        <v>958310.6906970812</v>
      </c>
      <c r="P62" s="174">
        <f t="shared" si="15"/>
        <v>1036983.324946892</v>
      </c>
      <c r="Q62" s="174">
        <f t="shared" si="15"/>
        <v>1119288.6150823934</v>
      </c>
      <c r="R62" s="174">
        <f t="shared" si="15"/>
        <v>1205390.6427504502</v>
      </c>
      <c r="S62" s="174">
        <f t="shared" si="15"/>
        <v>1295460.6744061403</v>
      </c>
      <c r="T62" s="174">
        <f t="shared" si="15"/>
        <v>1389677.4615695798</v>
      </c>
      <c r="U62" s="174">
        <f t="shared" si="15"/>
        <v>1488227.5526929025</v>
      </c>
      <c r="V62" s="174">
        <f t="shared" si="15"/>
        <v>1591305.6170221448</v>
      </c>
      <c r="W62" s="174">
        <f t="shared" si="15"/>
        <v>2862429.1987388614</v>
      </c>
      <c r="X62" s="174">
        <f t="shared" si="15"/>
        <v>2975181.3944295254</v>
      </c>
      <c r="Y62" s="174">
        <f t="shared" si="15"/>
        <v>3093097.722671837</v>
      </c>
      <c r="Z62" s="174">
        <f t="shared" si="15"/>
        <v>3216408.828311514</v>
      </c>
      <c r="AA62" s="174">
        <f t="shared" si="15"/>
        <v>3345355.290232527</v>
      </c>
      <c r="AB62" s="174">
        <f t="shared" si="15"/>
        <v>6808336.817978362</v>
      </c>
      <c r="AC62" s="174">
        <f aca="true" t="shared" si="16" ref="AC62:AL62">AB62+AC60</f>
        <v>6949317.501858324</v>
      </c>
      <c r="AD62" s="174">
        <f t="shared" si="16"/>
        <v>7096719.001207384</v>
      </c>
      <c r="AE62" s="174">
        <f t="shared" si="16"/>
        <v>7250825.825603362</v>
      </c>
      <c r="AF62" s="174">
        <f t="shared" si="16"/>
        <v>7411934.593717982</v>
      </c>
      <c r="AG62" s="174">
        <f t="shared" si="16"/>
        <v>7580354.516559611</v>
      </c>
      <c r="AH62" s="174">
        <f t="shared" si="16"/>
        <v>7756407.897841074</v>
      </c>
      <c r="AI62" s="174">
        <f t="shared" si="16"/>
        <v>7940430.651924622</v>
      </c>
      <c r="AJ62" s="174">
        <f t="shared" si="16"/>
        <v>8132772.839795591</v>
      </c>
      <c r="AK62" s="174">
        <f t="shared" si="16"/>
        <v>8333799.223514347</v>
      </c>
      <c r="AL62" s="174">
        <f t="shared" si="16"/>
        <v>18454186.438838564</v>
      </c>
      <c r="AM62" s="174"/>
      <c r="AN62" s="174"/>
      <c r="AO62" s="174"/>
      <c r="AP62" s="174"/>
      <c r="AQ62" s="174"/>
    </row>
    <row r="63" spans="3:33" s="106" customFormat="1" ht="12" thickBot="1">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row>
    <row r="64" spans="1:3" ht="13.5" thickBot="1">
      <c r="A64" s="31" t="s">
        <v>4</v>
      </c>
      <c r="B64" s="32"/>
      <c r="C64" s="71">
        <f>SUM(D61:AQ61)</f>
        <v>1248738.324365922</v>
      </c>
    </row>
    <row r="65" ht="6.75" customHeight="1" thickBot="1">
      <c r="C65" s="111"/>
    </row>
    <row r="66" spans="1:3" ht="13.5" thickBot="1">
      <c r="A66" s="31" t="s">
        <v>5</v>
      </c>
      <c r="B66" s="32"/>
      <c r="C66" s="72">
        <f>IRR(D60:AQ60)</f>
        <v>0.18662422995792444</v>
      </c>
    </row>
    <row r="67" ht="6.75" customHeight="1" thickBot="1">
      <c r="C67" s="111"/>
    </row>
    <row r="68" spans="1:3" ht="13.5" thickBot="1">
      <c r="A68" s="31" t="s">
        <v>73</v>
      </c>
      <c r="B68" s="32"/>
      <c r="C68" s="71">
        <f>C19</f>
        <v>-546878.9775</v>
      </c>
    </row>
    <row r="69" ht="6.75" customHeight="1" thickBot="1">
      <c r="C69" s="111"/>
    </row>
    <row r="70" spans="1:3" ht="13.5" thickBot="1">
      <c r="A70" s="31" t="s">
        <v>3</v>
      </c>
      <c r="B70" s="32"/>
      <c r="C70" s="71">
        <f>COUNTIF(D62:AQ62,"&lt;0")</f>
        <v>9</v>
      </c>
    </row>
  </sheetData>
  <sheetProtection/>
  <printOptions/>
  <pageMargins left="0.75" right="0.75" top="1" bottom="1" header="0.5" footer="0.5"/>
  <pageSetup horizontalDpi="600" verticalDpi="600" orientation="landscape" paperSize="9" scale="58" r:id="rId2"/>
  <headerFooter alignWithMargins="0">
    <oddFooter>&amp;L&amp;8Groasis&amp;C&amp;8Financial model for a reforestation project&amp;R&amp;8Copyright Wout Hoff</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IP30"/>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8.140625" style="0" customWidth="1"/>
    <col min="2" max="2" width="5.57421875" style="0" customWidth="1"/>
    <col min="3" max="3" width="11.421875" style="0" customWidth="1"/>
    <col min="4" max="4" width="9.28125" style="0" bestFit="1" customWidth="1"/>
    <col min="62" max="250" width="9.140625" style="261" customWidth="1"/>
  </cols>
  <sheetData>
    <row r="1" spans="1:48" ht="12.75">
      <c r="A1" s="85" t="s">
        <v>396</v>
      </c>
      <c r="D1" s="87">
        <v>1</v>
      </c>
      <c r="E1" s="87">
        <v>2</v>
      </c>
      <c r="F1" s="87">
        <v>3</v>
      </c>
      <c r="G1" s="87">
        <v>4</v>
      </c>
      <c r="H1" s="87">
        <v>5</v>
      </c>
      <c r="I1" s="87">
        <v>6</v>
      </c>
      <c r="J1" s="87">
        <v>7</v>
      </c>
      <c r="K1" s="87">
        <v>8</v>
      </c>
      <c r="L1" s="87">
        <v>9</v>
      </c>
      <c r="M1" s="87">
        <v>10</v>
      </c>
      <c r="N1" s="87">
        <v>11</v>
      </c>
      <c r="O1" s="87">
        <v>12</v>
      </c>
      <c r="P1" s="87">
        <v>13</v>
      </c>
      <c r="Q1" s="87">
        <v>14</v>
      </c>
      <c r="R1" s="87">
        <v>15</v>
      </c>
      <c r="S1" s="87">
        <v>16</v>
      </c>
      <c r="T1" s="87">
        <v>17</v>
      </c>
      <c r="U1" s="87">
        <v>18</v>
      </c>
      <c r="V1" s="87">
        <v>19</v>
      </c>
      <c r="W1" s="87">
        <v>20</v>
      </c>
      <c r="X1" s="87">
        <v>21</v>
      </c>
      <c r="Y1" s="87">
        <v>22</v>
      </c>
      <c r="Z1" s="87">
        <v>23</v>
      </c>
      <c r="AA1" s="87">
        <v>24</v>
      </c>
      <c r="AB1" s="87">
        <v>25</v>
      </c>
      <c r="AC1" s="87">
        <v>26</v>
      </c>
      <c r="AD1" s="87">
        <v>27</v>
      </c>
      <c r="AE1" s="87">
        <v>28</v>
      </c>
      <c r="AF1" s="87">
        <v>29</v>
      </c>
      <c r="AG1" s="87">
        <v>30</v>
      </c>
      <c r="AH1" s="87">
        <v>31</v>
      </c>
      <c r="AI1" s="87">
        <v>32</v>
      </c>
      <c r="AJ1" s="87">
        <v>33</v>
      </c>
      <c r="AK1" s="87">
        <v>34</v>
      </c>
      <c r="AL1" s="87">
        <v>35</v>
      </c>
      <c r="AM1" s="87">
        <v>36</v>
      </c>
      <c r="AN1" s="87">
        <v>37</v>
      </c>
      <c r="AO1" s="87">
        <v>38</v>
      </c>
      <c r="AP1" s="87">
        <v>39</v>
      </c>
      <c r="AQ1" s="87">
        <v>40</v>
      </c>
      <c r="AR1" s="87">
        <v>41</v>
      </c>
      <c r="AS1" s="87">
        <v>42</v>
      </c>
      <c r="AT1" s="87">
        <v>43</v>
      </c>
      <c r="AU1" s="87">
        <v>44</v>
      </c>
      <c r="AV1" s="87">
        <v>45</v>
      </c>
    </row>
    <row r="2" spans="1:61" s="91" customFormat="1" ht="11.25">
      <c r="A2" s="90" t="s">
        <v>393</v>
      </c>
      <c r="B2" s="90" t="s">
        <v>31</v>
      </c>
      <c r="C2" s="90" t="s">
        <v>51</v>
      </c>
      <c r="D2" s="90">
        <f>'Input and Output'!C21</f>
        <v>2011</v>
      </c>
      <c r="E2" s="90">
        <f aca="true" t="shared" si="0" ref="E2:AJ2">IF(E1=0,0,IF(E1&gt;0,$D$2+E1-1))</f>
        <v>2012</v>
      </c>
      <c r="F2" s="90">
        <f t="shared" si="0"/>
        <v>2013</v>
      </c>
      <c r="G2" s="90">
        <f t="shared" si="0"/>
        <v>2014</v>
      </c>
      <c r="H2" s="90">
        <f t="shared" si="0"/>
        <v>2015</v>
      </c>
      <c r="I2" s="90">
        <f t="shared" si="0"/>
        <v>2016</v>
      </c>
      <c r="J2" s="90">
        <f t="shared" si="0"/>
        <v>2017</v>
      </c>
      <c r="K2" s="90">
        <f t="shared" si="0"/>
        <v>2018</v>
      </c>
      <c r="L2" s="90">
        <f t="shared" si="0"/>
        <v>2019</v>
      </c>
      <c r="M2" s="90">
        <f t="shared" si="0"/>
        <v>2020</v>
      </c>
      <c r="N2" s="90">
        <f t="shared" si="0"/>
        <v>2021</v>
      </c>
      <c r="O2" s="90">
        <f t="shared" si="0"/>
        <v>2022</v>
      </c>
      <c r="P2" s="90">
        <f t="shared" si="0"/>
        <v>2023</v>
      </c>
      <c r="Q2" s="90">
        <f t="shared" si="0"/>
        <v>2024</v>
      </c>
      <c r="R2" s="90">
        <f t="shared" si="0"/>
        <v>2025</v>
      </c>
      <c r="S2" s="90">
        <f t="shared" si="0"/>
        <v>2026</v>
      </c>
      <c r="T2" s="90">
        <f t="shared" si="0"/>
        <v>2027</v>
      </c>
      <c r="U2" s="90">
        <f t="shared" si="0"/>
        <v>2028</v>
      </c>
      <c r="V2" s="90">
        <f t="shared" si="0"/>
        <v>2029</v>
      </c>
      <c r="W2" s="90">
        <f t="shared" si="0"/>
        <v>2030</v>
      </c>
      <c r="X2" s="90">
        <f t="shared" si="0"/>
        <v>2031</v>
      </c>
      <c r="Y2" s="90">
        <f t="shared" si="0"/>
        <v>2032</v>
      </c>
      <c r="Z2" s="90">
        <f t="shared" si="0"/>
        <v>2033</v>
      </c>
      <c r="AA2" s="90">
        <f t="shared" si="0"/>
        <v>2034</v>
      </c>
      <c r="AB2" s="90">
        <f t="shared" si="0"/>
        <v>2035</v>
      </c>
      <c r="AC2" s="90">
        <f t="shared" si="0"/>
        <v>2036</v>
      </c>
      <c r="AD2" s="90">
        <f t="shared" si="0"/>
        <v>2037</v>
      </c>
      <c r="AE2" s="90">
        <f t="shared" si="0"/>
        <v>2038</v>
      </c>
      <c r="AF2" s="90">
        <f t="shared" si="0"/>
        <v>2039</v>
      </c>
      <c r="AG2" s="90">
        <f t="shared" si="0"/>
        <v>2040</v>
      </c>
      <c r="AH2" s="90">
        <f t="shared" si="0"/>
        <v>2041</v>
      </c>
      <c r="AI2" s="90">
        <f t="shared" si="0"/>
        <v>2042</v>
      </c>
      <c r="AJ2" s="90">
        <f t="shared" si="0"/>
        <v>2043</v>
      </c>
      <c r="AK2" s="90">
        <f aca="true" t="shared" si="1" ref="AK2:BI2">IF(AK1=0,0,IF(AK1&gt;0,$D$2+AK1-1))</f>
        <v>2044</v>
      </c>
      <c r="AL2" s="90">
        <f t="shared" si="1"/>
        <v>2045</v>
      </c>
      <c r="AM2" s="90">
        <f t="shared" si="1"/>
        <v>2046</v>
      </c>
      <c r="AN2" s="90">
        <f t="shared" si="1"/>
        <v>2047</v>
      </c>
      <c r="AO2" s="90">
        <f t="shared" si="1"/>
        <v>2048</v>
      </c>
      <c r="AP2" s="90">
        <f t="shared" si="1"/>
        <v>2049</v>
      </c>
      <c r="AQ2" s="90">
        <f t="shared" si="1"/>
        <v>2050</v>
      </c>
      <c r="AR2" s="90">
        <f t="shared" si="1"/>
        <v>2051</v>
      </c>
      <c r="AS2" s="90">
        <f t="shared" si="1"/>
        <v>2052</v>
      </c>
      <c r="AT2" s="90">
        <f t="shared" si="1"/>
        <v>2053</v>
      </c>
      <c r="AU2" s="90">
        <f t="shared" si="1"/>
        <v>2054</v>
      </c>
      <c r="AV2" s="90">
        <f t="shared" si="1"/>
        <v>2055</v>
      </c>
      <c r="AW2" s="90">
        <f t="shared" si="1"/>
        <v>0</v>
      </c>
      <c r="AX2" s="90">
        <f t="shared" si="1"/>
        <v>0</v>
      </c>
      <c r="AY2" s="90">
        <f t="shared" si="1"/>
        <v>0</v>
      </c>
      <c r="AZ2" s="90">
        <f t="shared" si="1"/>
        <v>0</v>
      </c>
      <c r="BA2" s="90">
        <f t="shared" si="1"/>
        <v>0</v>
      </c>
      <c r="BB2" s="90">
        <f t="shared" si="1"/>
        <v>0</v>
      </c>
      <c r="BC2" s="90">
        <f t="shared" si="1"/>
        <v>0</v>
      </c>
      <c r="BD2" s="90">
        <f t="shared" si="1"/>
        <v>0</v>
      </c>
      <c r="BE2" s="90">
        <f t="shared" si="1"/>
        <v>0</v>
      </c>
      <c r="BF2" s="90">
        <f t="shared" si="1"/>
        <v>0</v>
      </c>
      <c r="BG2" s="90">
        <f t="shared" si="1"/>
        <v>0</v>
      </c>
      <c r="BH2" s="90">
        <f t="shared" si="1"/>
        <v>0</v>
      </c>
      <c r="BI2" s="90">
        <f t="shared" si="1"/>
        <v>0</v>
      </c>
    </row>
    <row r="3" spans="1:44" s="256" customFormat="1" ht="12.75">
      <c r="A3" s="255" t="s">
        <v>392</v>
      </c>
      <c r="B3" s="86" t="s">
        <v>57</v>
      </c>
      <c r="C3" s="257">
        <f aca="true" t="shared" si="2" ref="C3:C13">SUM(D3:GY3)</f>
        <v>-475650</v>
      </c>
      <c r="D3" s="164">
        <f>Workings!D12+Workings!D13</f>
        <v>-475650</v>
      </c>
      <c r="AR3" s="95"/>
    </row>
    <row r="4" spans="1:53" ht="12.75">
      <c r="A4" t="s">
        <v>382</v>
      </c>
      <c r="B4" s="86" t="s">
        <v>57</v>
      </c>
      <c r="C4" s="257">
        <f t="shared" si="2"/>
        <v>23543383.0485482</v>
      </c>
      <c r="D4" s="164">
        <f>Workings!D55-Portfolio!D3</f>
        <v>-72314.25225000002</v>
      </c>
      <c r="E4" s="164">
        <f>Workings!E55</f>
        <v>-21432.307340749998</v>
      </c>
      <c r="F4" s="164">
        <f>Workings!F55</f>
        <v>-16422.346282062746</v>
      </c>
      <c r="G4" s="164">
        <f>Workings!G55</f>
        <v>-17349.844704940322</v>
      </c>
      <c r="H4" s="164">
        <f>Workings!H55</f>
        <v>61717.61618163274</v>
      </c>
      <c r="I4" s="164">
        <f>Workings!I55</f>
        <v>64517.52741519142</v>
      </c>
      <c r="J4" s="164">
        <f>Workings!J55</f>
        <v>67440.79371999708</v>
      </c>
      <c r="K4" s="164">
        <f>Workings!K55</f>
        <v>70492.61803200244</v>
      </c>
      <c r="L4" s="164">
        <f>Workings!L55</f>
        <v>82036.57251401056</v>
      </c>
      <c r="M4" s="164">
        <f>Workings!M55</f>
        <v>1271015.2027577392</v>
      </c>
      <c r="N4" s="164">
        <f>Workings!N55</f>
        <v>89840.3280460452</v>
      </c>
      <c r="O4" s="164">
        <f>Workings!O55</f>
        <v>93996.45528248585</v>
      </c>
      <c r="P4" s="164">
        <f>Workings!P55</f>
        <v>98340.79281226361</v>
      </c>
      <c r="Q4" s="164">
        <f>Workings!Q55</f>
        <v>102881.61266937692</v>
      </c>
      <c r="R4" s="164">
        <f>Workings!R55</f>
        <v>107627.53458507109</v>
      </c>
      <c r="S4" s="164">
        <f>Workings!S55</f>
        <v>112587.53956961268</v>
      </c>
      <c r="T4" s="164">
        <f>Workings!T55</f>
        <v>117770.98395429918</v>
      </c>
      <c r="U4" s="164">
        <f>Workings!U55</f>
        <v>123187.61390415333</v>
      </c>
      <c r="V4" s="164">
        <f>Workings!V55</f>
        <v>128847.58041155286</v>
      </c>
      <c r="W4" s="164">
        <f>Workings!W55</f>
        <v>1588904.4771458956</v>
      </c>
      <c r="X4" s="164">
        <f>Workings!X55</f>
        <v>140940.24461332976</v>
      </c>
      <c r="Y4" s="164">
        <f>Workings!Y55</f>
        <v>147395.41030288942</v>
      </c>
      <c r="Z4" s="164">
        <f>Workings!Z55</f>
        <v>154138.88204959658</v>
      </c>
      <c r="AA4" s="164">
        <f>Workings!AA55</f>
        <v>161183.0774012661</v>
      </c>
      <c r="AB4" s="164">
        <f>Workings!AB55</f>
        <v>4328726.909682293</v>
      </c>
      <c r="AC4" s="164">
        <f>Workings!AC55</f>
        <v>176225.85484995248</v>
      </c>
      <c r="AD4" s="164">
        <f>Workings!AD55</f>
        <v>184251.8741863251</v>
      </c>
      <c r="AE4" s="164">
        <f>Workings!AE55</f>
        <v>192633.53049497196</v>
      </c>
      <c r="AF4" s="164">
        <f>Workings!AF55</f>
        <v>201385.9601432743</v>
      </c>
      <c r="AG4" s="164">
        <f>Workings!AG55</f>
        <v>210524.903552036</v>
      </c>
      <c r="AH4" s="164">
        <f>Workings!AH55</f>
        <v>220066.72660182838</v>
      </c>
      <c r="AI4" s="164">
        <f>Workings!AI55</f>
        <v>230028.44260443613</v>
      </c>
      <c r="AJ4" s="164">
        <f>Workings!AJ55</f>
        <v>240427.73483871095</v>
      </c>
      <c r="AK4" s="164">
        <f>Workings!AK55</f>
        <v>251282.9796484447</v>
      </c>
      <c r="AL4" s="164">
        <f>Workings!AL55</f>
        <v>12650484.01915527</v>
      </c>
      <c r="AM4" s="164">
        <f>Workings!AM55</f>
        <v>0</v>
      </c>
      <c r="AN4" s="164">
        <f>Workings!AN55</f>
        <v>0</v>
      </c>
      <c r="AO4" s="164">
        <f>Workings!AO55</f>
        <v>0</v>
      </c>
      <c r="AP4" s="164">
        <f>Workings!AQ55</f>
        <v>0</v>
      </c>
      <c r="AQ4" s="164">
        <f>Workings!AR55</f>
        <v>0</v>
      </c>
      <c r="AR4" s="164"/>
      <c r="AS4" s="164"/>
      <c r="AT4" s="164"/>
      <c r="AU4" s="164"/>
      <c r="AV4" s="164"/>
      <c r="AW4" s="164"/>
      <c r="AX4" s="164"/>
      <c r="AY4" s="164"/>
      <c r="AZ4" s="164"/>
      <c r="BA4" s="164"/>
    </row>
    <row r="5" spans="1:54" ht="12.75">
      <c r="A5" t="s">
        <v>383</v>
      </c>
      <c r="B5" s="86" t="s">
        <v>57</v>
      </c>
      <c r="C5" s="257">
        <f t="shared" si="2"/>
        <v>23543383.0485482</v>
      </c>
      <c r="D5" s="164"/>
      <c r="E5" s="164">
        <f>IF(E$2&lt;'Notes and Assumptions'!$D$45,0,Portfolio!D4)</f>
        <v>-72314.25225000002</v>
      </c>
      <c r="F5" s="164">
        <f>IF(F$2&lt;'Notes and Assumptions'!$D$45,0,Portfolio!E4)</f>
        <v>-21432.307340749998</v>
      </c>
      <c r="G5" s="164">
        <f>IF(G$2&lt;'Notes and Assumptions'!$D$45,0,Portfolio!F4)</f>
        <v>-16422.346282062746</v>
      </c>
      <c r="H5" s="164">
        <f>IF(H$2&lt;'Notes and Assumptions'!$D$45,0,Portfolio!G4)</f>
        <v>-17349.844704940322</v>
      </c>
      <c r="I5" s="164">
        <f>IF(I$2&lt;'Notes and Assumptions'!$D$45,0,Portfolio!H4)</f>
        <v>61717.61618163274</v>
      </c>
      <c r="J5" s="164">
        <f>IF(J$2&lt;'Notes and Assumptions'!$D$45,0,Portfolio!I4)</f>
        <v>64517.52741519142</v>
      </c>
      <c r="K5" s="164">
        <f>IF(K$2&lt;'Notes and Assumptions'!$D$45,0,Portfolio!J4)</f>
        <v>67440.79371999708</v>
      </c>
      <c r="L5" s="164">
        <f>IF(L$2&lt;'Notes and Assumptions'!$D$45,0,Portfolio!K4)</f>
        <v>70492.61803200244</v>
      </c>
      <c r="M5" s="164">
        <f>IF(M$2&lt;'Notes and Assumptions'!$D$45,0,Portfolio!L4)</f>
        <v>82036.57251401056</v>
      </c>
      <c r="N5" s="164">
        <f>IF(N$2&lt;'Notes and Assumptions'!$D$45,0,Portfolio!M4)</f>
        <v>1271015.2027577392</v>
      </c>
      <c r="O5" s="164">
        <f>IF(O$2&lt;'Notes and Assumptions'!$D$45,0,Portfolio!N4)</f>
        <v>89840.3280460452</v>
      </c>
      <c r="P5" s="164">
        <f>IF(P$2&lt;'Notes and Assumptions'!$D$45,0,Portfolio!O4)</f>
        <v>93996.45528248585</v>
      </c>
      <c r="Q5" s="164">
        <f>IF(Q$2&lt;'Notes and Assumptions'!$D$45,0,Portfolio!P4)</f>
        <v>98340.79281226361</v>
      </c>
      <c r="R5" s="164">
        <f>IF(R$2&lt;'Notes and Assumptions'!$D$45,0,Portfolio!Q4)</f>
        <v>102881.61266937692</v>
      </c>
      <c r="S5" s="164">
        <f>IF(S$2&lt;'Notes and Assumptions'!$D$45,0,Portfolio!R4)</f>
        <v>107627.53458507109</v>
      </c>
      <c r="T5" s="164">
        <f>IF(T$2&lt;'Notes and Assumptions'!$D$45,0,Portfolio!S4)</f>
        <v>112587.53956961268</v>
      </c>
      <c r="U5" s="164">
        <f>IF(U$2&lt;'Notes and Assumptions'!$D$45,0,Portfolio!T4)</f>
        <v>117770.98395429918</v>
      </c>
      <c r="V5" s="164">
        <f>IF(V$2&lt;'Notes and Assumptions'!$D$45,0,Portfolio!U4)</f>
        <v>123187.61390415333</v>
      </c>
      <c r="W5" s="164">
        <f>IF(W$2&lt;'Notes and Assumptions'!$D$45,0,Portfolio!V4)</f>
        <v>128847.58041155286</v>
      </c>
      <c r="X5" s="164">
        <f>IF(X$2&lt;'Notes and Assumptions'!$D$45,0,Portfolio!W4)</f>
        <v>1588904.4771458956</v>
      </c>
      <c r="Y5" s="164">
        <f>IF(Y$2&lt;'Notes and Assumptions'!$D$45,0,Portfolio!X4)</f>
        <v>140940.24461332976</v>
      </c>
      <c r="Z5" s="164">
        <f>IF(Z$2&lt;'Notes and Assumptions'!$D$45,0,Portfolio!Y4)</f>
        <v>147395.41030288942</v>
      </c>
      <c r="AA5" s="164">
        <f>IF(AA$2&lt;'Notes and Assumptions'!$D$45,0,Portfolio!Z4)</f>
        <v>154138.88204959658</v>
      </c>
      <c r="AB5" s="164">
        <f>IF(AB$2&lt;'Notes and Assumptions'!$D$45,0,Portfolio!AA4)</f>
        <v>161183.0774012661</v>
      </c>
      <c r="AC5" s="164">
        <f>IF(AC$2&lt;'Notes and Assumptions'!$D$45,0,Portfolio!AB4)</f>
        <v>4328726.909682293</v>
      </c>
      <c r="AD5" s="164">
        <f>IF(AD$2&lt;'Notes and Assumptions'!$D$45,0,Portfolio!AC4)</f>
        <v>176225.85484995248</v>
      </c>
      <c r="AE5" s="164">
        <f>IF(AE$2&lt;'Notes and Assumptions'!$D$45,0,Portfolio!AD4)</f>
        <v>184251.8741863251</v>
      </c>
      <c r="AF5" s="164">
        <f>IF(AF$2&lt;'Notes and Assumptions'!$D$45,0,Portfolio!AE4)</f>
        <v>192633.53049497196</v>
      </c>
      <c r="AG5" s="164">
        <f>IF(AG$2&lt;'Notes and Assumptions'!$D$45,0,Portfolio!AF4)</f>
        <v>201385.9601432743</v>
      </c>
      <c r="AH5" s="164">
        <f>IF(AH$2&lt;'Notes and Assumptions'!$D$45,0,Portfolio!AG4)</f>
        <v>210524.903552036</v>
      </c>
      <c r="AI5" s="164">
        <f>IF(AI$2&lt;'Notes and Assumptions'!$D$45,0,Portfolio!AH4)</f>
        <v>220066.72660182838</v>
      </c>
      <c r="AJ5" s="164">
        <f>IF(AJ$2&lt;'Notes and Assumptions'!$D$45,0,Portfolio!AI4)</f>
        <v>230028.44260443613</v>
      </c>
      <c r="AK5" s="164">
        <f>IF(AK$2&lt;'Notes and Assumptions'!$D$45,0,Portfolio!AJ4)</f>
        <v>240427.73483871095</v>
      </c>
      <c r="AL5" s="164">
        <f>IF(AL$2&lt;'Notes and Assumptions'!$D$45,0,Portfolio!AK4)</f>
        <v>251282.9796484447</v>
      </c>
      <c r="AM5" s="164">
        <f>IF(AM$2&lt;'Notes and Assumptions'!$D$45,0,Portfolio!AL4)</f>
        <v>12650484.01915527</v>
      </c>
      <c r="AN5" s="164">
        <f>IF(AN$2&lt;'Notes and Assumptions'!$D$45,0,Portfolio!AM4)</f>
        <v>0</v>
      </c>
      <c r="AO5" s="164">
        <f>IF(AO$2&lt;'Notes and Assumptions'!$D$45,0,Portfolio!AN4)</f>
        <v>0</v>
      </c>
      <c r="AP5" s="164">
        <f>IF(AP$2&lt;'Notes and Assumptions'!$D$45,0,Portfolio!AO4)</f>
        <v>0</v>
      </c>
      <c r="AQ5" s="164">
        <f>IF(AQ$2&lt;'Notes and Assumptions'!$D$45,0,Portfolio!AP4)</f>
        <v>0</v>
      </c>
      <c r="AR5" s="164">
        <f>IF(AR$2&lt;'Notes and Assumptions'!$D$45,0,Portfolio!AQ4)</f>
        <v>0</v>
      </c>
      <c r="AS5" s="164">
        <f>IF(AS$2&lt;'Notes and Assumptions'!$D$45,0,Portfolio!AR4)</f>
        <v>0</v>
      </c>
      <c r="AT5" s="164">
        <f>IF(AT$2&lt;'Notes and Assumptions'!$D$45,0,Portfolio!AS4)</f>
        <v>0</v>
      </c>
      <c r="AU5" s="164">
        <f>IF(AU$2&lt;'Notes and Assumptions'!$D$45,0,Portfolio!AT4)</f>
        <v>0</v>
      </c>
      <c r="AV5" s="164">
        <f>IF(AV$2&lt;'Notes and Assumptions'!$D$45,0,Portfolio!AU4)</f>
        <v>0</v>
      </c>
      <c r="AW5" s="164">
        <f>IF(AW$2&lt;'Notes and Assumptions'!$D$45,0,Portfolio!AV4)</f>
        <v>0</v>
      </c>
      <c r="AX5" s="164">
        <f>IF(AX$2&lt;'Notes and Assumptions'!$D$45,0,Portfolio!AW4)</f>
        <v>0</v>
      </c>
      <c r="AY5" s="164">
        <f>IF(AY$2&lt;'Notes and Assumptions'!$D$45,0,Portfolio!AX4)</f>
        <v>0</v>
      </c>
      <c r="AZ5" s="164">
        <f>IF(AZ$2&lt;'Notes and Assumptions'!$D$45,0,Portfolio!AY4)</f>
        <v>0</v>
      </c>
      <c r="BA5" s="164">
        <f>IF(BA$2&lt;'Notes and Assumptions'!$D$45,0,Portfolio!AZ4)</f>
        <v>0</v>
      </c>
      <c r="BB5" s="164">
        <f>IF(BB$2&lt;'Notes and Assumptions'!$D$45,0,Portfolio!BA4)</f>
        <v>0</v>
      </c>
    </row>
    <row r="6" spans="1:54" ht="12.75">
      <c r="A6" t="s">
        <v>384</v>
      </c>
      <c r="B6" s="86" t="s">
        <v>57</v>
      </c>
      <c r="C6" s="257">
        <f t="shared" si="2"/>
        <v>23543383.0485482</v>
      </c>
      <c r="D6" s="164"/>
      <c r="E6" s="164">
        <f>IF(E$2&lt;'Notes and Assumptions'!$D$45,0,Portfolio!D5)</f>
        <v>0</v>
      </c>
      <c r="F6" s="164">
        <f>IF(F$2&lt;'Notes and Assumptions'!$D$45,0,Portfolio!E5)</f>
        <v>-72314.25225000002</v>
      </c>
      <c r="G6" s="164">
        <f>IF(G$2&lt;'Notes and Assumptions'!$D$45,0,Portfolio!F5)</f>
        <v>-21432.307340749998</v>
      </c>
      <c r="H6" s="164">
        <f>IF(H$2&lt;'Notes and Assumptions'!$D$45,0,Portfolio!G5)</f>
        <v>-16422.346282062746</v>
      </c>
      <c r="I6" s="164">
        <f>IF(I$2&lt;'Notes and Assumptions'!$D$45,0,Portfolio!H5)</f>
        <v>-17349.844704940322</v>
      </c>
      <c r="J6" s="164">
        <f>IF(J$2&lt;'Notes and Assumptions'!$D$45,0,Portfolio!I5)</f>
        <v>61717.61618163274</v>
      </c>
      <c r="K6" s="164">
        <f>IF(K$2&lt;'Notes and Assumptions'!$D$45,0,Portfolio!J5)</f>
        <v>64517.52741519142</v>
      </c>
      <c r="L6" s="164">
        <f>IF(L$2&lt;'Notes and Assumptions'!$D$45,0,Portfolio!K5)</f>
        <v>67440.79371999708</v>
      </c>
      <c r="M6" s="164">
        <f>IF(M$2&lt;'Notes and Assumptions'!$D$45,0,Portfolio!L5)</f>
        <v>70492.61803200244</v>
      </c>
      <c r="N6" s="164">
        <f>IF(N$2&lt;'Notes and Assumptions'!$D$45,0,Portfolio!M5)</f>
        <v>82036.57251401056</v>
      </c>
      <c r="O6" s="164">
        <f>IF(O$2&lt;'Notes and Assumptions'!$D$45,0,Portfolio!N5)</f>
        <v>1271015.2027577392</v>
      </c>
      <c r="P6" s="164">
        <f>IF(P$2&lt;'Notes and Assumptions'!$D$45,0,Portfolio!O5)</f>
        <v>89840.3280460452</v>
      </c>
      <c r="Q6" s="164">
        <f>IF(Q$2&lt;'Notes and Assumptions'!$D$45,0,Portfolio!P5)</f>
        <v>93996.45528248585</v>
      </c>
      <c r="R6" s="164">
        <f>IF(R$2&lt;'Notes and Assumptions'!$D$45,0,Portfolio!Q5)</f>
        <v>98340.79281226361</v>
      </c>
      <c r="S6" s="164">
        <f>IF(S$2&lt;'Notes and Assumptions'!$D$45,0,Portfolio!R5)</f>
        <v>102881.61266937692</v>
      </c>
      <c r="T6" s="164">
        <f>IF(T$2&lt;'Notes and Assumptions'!$D$45,0,Portfolio!S5)</f>
        <v>107627.53458507109</v>
      </c>
      <c r="U6" s="164">
        <f>IF(U$2&lt;'Notes and Assumptions'!$D$45,0,Portfolio!T5)</f>
        <v>112587.53956961268</v>
      </c>
      <c r="V6" s="164">
        <f>IF(V$2&lt;'Notes and Assumptions'!$D$45,0,Portfolio!U5)</f>
        <v>117770.98395429918</v>
      </c>
      <c r="W6" s="164">
        <f>IF(W$2&lt;'Notes and Assumptions'!$D$45,0,Portfolio!V5)</f>
        <v>123187.61390415333</v>
      </c>
      <c r="X6" s="164">
        <f>IF(X$2&lt;'Notes and Assumptions'!$D$45,0,Portfolio!W5)</f>
        <v>128847.58041155286</v>
      </c>
      <c r="Y6" s="164">
        <f>IF(Y$2&lt;'Notes and Assumptions'!$D$45,0,Portfolio!X5)</f>
        <v>1588904.4771458956</v>
      </c>
      <c r="Z6" s="164">
        <f>IF(Z$2&lt;'Notes and Assumptions'!$D$45,0,Portfolio!Y5)</f>
        <v>140940.24461332976</v>
      </c>
      <c r="AA6" s="164">
        <f>IF(AA$2&lt;'Notes and Assumptions'!$D$45,0,Portfolio!Z5)</f>
        <v>147395.41030288942</v>
      </c>
      <c r="AB6" s="164">
        <f>IF(AB$2&lt;'Notes and Assumptions'!$D$45,0,Portfolio!AA5)</f>
        <v>154138.88204959658</v>
      </c>
      <c r="AC6" s="164">
        <f>IF(AC$2&lt;'Notes and Assumptions'!$D$45,0,Portfolio!AB5)</f>
        <v>161183.0774012661</v>
      </c>
      <c r="AD6" s="164">
        <f>IF(AD$2&lt;'Notes and Assumptions'!$D$45,0,Portfolio!AC5)</f>
        <v>4328726.909682293</v>
      </c>
      <c r="AE6" s="164">
        <f>IF(AE$2&lt;'Notes and Assumptions'!$D$45,0,Portfolio!AD5)</f>
        <v>176225.85484995248</v>
      </c>
      <c r="AF6" s="164">
        <f>IF(AF$2&lt;'Notes and Assumptions'!$D$45,0,Portfolio!AE5)</f>
        <v>184251.8741863251</v>
      </c>
      <c r="AG6" s="164">
        <f>IF(AG$2&lt;'Notes and Assumptions'!$D$45,0,Portfolio!AF5)</f>
        <v>192633.53049497196</v>
      </c>
      <c r="AH6" s="164">
        <f>IF(AH$2&lt;'Notes and Assumptions'!$D$45,0,Portfolio!AG5)</f>
        <v>201385.9601432743</v>
      </c>
      <c r="AI6" s="164">
        <f>IF(AI$2&lt;'Notes and Assumptions'!$D$45,0,Portfolio!AH5)</f>
        <v>210524.903552036</v>
      </c>
      <c r="AJ6" s="164">
        <f>IF(AJ$2&lt;'Notes and Assumptions'!$D$45,0,Portfolio!AI5)</f>
        <v>220066.72660182838</v>
      </c>
      <c r="AK6" s="164">
        <f>IF(AK$2&lt;'Notes and Assumptions'!$D$45,0,Portfolio!AJ5)</f>
        <v>230028.44260443613</v>
      </c>
      <c r="AL6" s="164">
        <f>IF(AL$2&lt;'Notes and Assumptions'!$D$45,0,Portfolio!AK5)</f>
        <v>240427.73483871095</v>
      </c>
      <c r="AM6" s="164">
        <f>IF(AM$2&lt;'Notes and Assumptions'!$D$45,0,Portfolio!AL5)</f>
        <v>251282.9796484447</v>
      </c>
      <c r="AN6" s="164">
        <f>IF(AN$2&lt;'Notes and Assumptions'!$D$45,0,Portfolio!AM5)</f>
        <v>12650484.01915527</v>
      </c>
      <c r="AO6" s="164">
        <f>IF(AO$2&lt;'Notes and Assumptions'!$D$45,0,Portfolio!AN5)</f>
        <v>0</v>
      </c>
      <c r="AP6" s="164">
        <f>IF(AP$2&lt;'Notes and Assumptions'!$D$45,0,Portfolio!AO5)</f>
        <v>0</v>
      </c>
      <c r="AQ6" s="164">
        <f>IF(AQ$2&lt;'Notes and Assumptions'!$D$45,0,Portfolio!AP5)</f>
        <v>0</v>
      </c>
      <c r="AR6" s="164">
        <f>IF(AR$2&lt;'Notes and Assumptions'!$D$45,0,Portfolio!AQ5)</f>
        <v>0</v>
      </c>
      <c r="AS6" s="164">
        <f>IF(AS$2&lt;'Notes and Assumptions'!$D$45,0,Portfolio!AR5)</f>
        <v>0</v>
      </c>
      <c r="AT6" s="164">
        <f>IF(AT$2&lt;'Notes and Assumptions'!$D$45,0,Portfolio!AS5)</f>
        <v>0</v>
      </c>
      <c r="AU6" s="164">
        <f>IF(AU$2&lt;'Notes and Assumptions'!$D$45,0,Portfolio!AT5)</f>
        <v>0</v>
      </c>
      <c r="AV6" s="164">
        <f>IF(AV$2&lt;'Notes and Assumptions'!$D$45,0,Portfolio!AU5)</f>
        <v>0</v>
      </c>
      <c r="AW6" s="164">
        <f>IF(AW$2&lt;'Notes and Assumptions'!$D$45,0,Portfolio!AV5)</f>
        <v>0</v>
      </c>
      <c r="AX6" s="164">
        <f>IF(AX$2&lt;'Notes and Assumptions'!$D$45,0,Portfolio!AW5)</f>
        <v>0</v>
      </c>
      <c r="AY6" s="164">
        <f>IF(AY$2&lt;'Notes and Assumptions'!$D$45,0,Portfolio!AX5)</f>
        <v>0</v>
      </c>
      <c r="AZ6" s="164">
        <f>IF(AZ$2&lt;'Notes and Assumptions'!$D$45,0,Portfolio!AY5)</f>
        <v>0</v>
      </c>
      <c r="BA6" s="164">
        <f>IF(BA$2&lt;'Notes and Assumptions'!$D$45,0,Portfolio!AZ5)</f>
        <v>0</v>
      </c>
      <c r="BB6" s="164">
        <f>IF(BB$2&lt;'Notes and Assumptions'!$D$45,0,Portfolio!BA5)</f>
        <v>0</v>
      </c>
    </row>
    <row r="7" spans="1:54" ht="12.75">
      <c r="A7" t="s">
        <v>385</v>
      </c>
      <c r="B7" s="86" t="s">
        <v>57</v>
      </c>
      <c r="C7" s="257">
        <f t="shared" si="2"/>
        <v>23543383.0485482</v>
      </c>
      <c r="D7" s="164"/>
      <c r="E7" s="164">
        <f>IF(E$2&lt;'Notes and Assumptions'!$D$45,0,Portfolio!D6)</f>
        <v>0</v>
      </c>
      <c r="F7" s="164">
        <f>IF(F$2&lt;'Notes and Assumptions'!$D$45,0,Portfolio!E6)</f>
        <v>0</v>
      </c>
      <c r="G7" s="164">
        <f>IF(G$2&lt;'Notes and Assumptions'!$D$45,0,Portfolio!F6)</f>
        <v>-72314.25225000002</v>
      </c>
      <c r="H7" s="164">
        <f>IF(H$2&lt;'Notes and Assumptions'!$D$45,0,Portfolio!G6)</f>
        <v>-21432.307340749998</v>
      </c>
      <c r="I7" s="164">
        <f>IF(I$2&lt;'Notes and Assumptions'!$D$45,0,Portfolio!H6)</f>
        <v>-16422.346282062746</v>
      </c>
      <c r="J7" s="164">
        <f>IF(J$2&lt;'Notes and Assumptions'!$D$45,0,Portfolio!I6)</f>
        <v>-17349.844704940322</v>
      </c>
      <c r="K7" s="164">
        <f>IF(K$2&lt;'Notes and Assumptions'!$D$45,0,Portfolio!J6)</f>
        <v>61717.61618163274</v>
      </c>
      <c r="L7" s="164">
        <f>IF(L$2&lt;'Notes and Assumptions'!$D$45,0,Portfolio!K6)</f>
        <v>64517.52741519142</v>
      </c>
      <c r="M7" s="164">
        <f>IF(M$2&lt;'Notes and Assumptions'!$D$45,0,Portfolio!L6)</f>
        <v>67440.79371999708</v>
      </c>
      <c r="N7" s="164">
        <f>IF(N$2&lt;'Notes and Assumptions'!$D$45,0,Portfolio!M6)</f>
        <v>70492.61803200244</v>
      </c>
      <c r="O7" s="164">
        <f>IF(O$2&lt;'Notes and Assumptions'!$D$45,0,Portfolio!N6)</f>
        <v>82036.57251401056</v>
      </c>
      <c r="P7" s="164">
        <f>IF(P$2&lt;'Notes and Assumptions'!$D$45,0,Portfolio!O6)</f>
        <v>1271015.2027577392</v>
      </c>
      <c r="Q7" s="164">
        <f>IF(Q$2&lt;'Notes and Assumptions'!$D$45,0,Portfolio!P6)</f>
        <v>89840.3280460452</v>
      </c>
      <c r="R7" s="164">
        <f>IF(R$2&lt;'Notes and Assumptions'!$D$45,0,Portfolio!Q6)</f>
        <v>93996.45528248585</v>
      </c>
      <c r="S7" s="164">
        <f>IF(S$2&lt;'Notes and Assumptions'!$D$45,0,Portfolio!R6)</f>
        <v>98340.79281226361</v>
      </c>
      <c r="T7" s="164">
        <f>IF(T$2&lt;'Notes and Assumptions'!$D$45,0,Portfolio!S6)</f>
        <v>102881.61266937692</v>
      </c>
      <c r="U7" s="164">
        <f>IF(U$2&lt;'Notes and Assumptions'!$D$45,0,Portfolio!T6)</f>
        <v>107627.53458507109</v>
      </c>
      <c r="V7" s="164">
        <f>IF(V$2&lt;'Notes and Assumptions'!$D$45,0,Portfolio!U6)</f>
        <v>112587.53956961268</v>
      </c>
      <c r="W7" s="164">
        <f>IF(W$2&lt;'Notes and Assumptions'!$D$45,0,Portfolio!V6)</f>
        <v>117770.98395429918</v>
      </c>
      <c r="X7" s="164">
        <f>IF(X$2&lt;'Notes and Assumptions'!$D$45,0,Portfolio!W6)</f>
        <v>123187.61390415333</v>
      </c>
      <c r="Y7" s="164">
        <f>IF(Y$2&lt;'Notes and Assumptions'!$D$45,0,Portfolio!X6)</f>
        <v>128847.58041155286</v>
      </c>
      <c r="Z7" s="164">
        <f>IF(Z$2&lt;'Notes and Assumptions'!$D$45,0,Portfolio!Y6)</f>
        <v>1588904.4771458956</v>
      </c>
      <c r="AA7" s="164">
        <f>IF(AA$2&lt;'Notes and Assumptions'!$D$45,0,Portfolio!Z6)</f>
        <v>140940.24461332976</v>
      </c>
      <c r="AB7" s="164">
        <f>IF(AB$2&lt;'Notes and Assumptions'!$D$45,0,Portfolio!AA6)</f>
        <v>147395.41030288942</v>
      </c>
      <c r="AC7" s="164">
        <f>IF(AC$2&lt;'Notes and Assumptions'!$D$45,0,Portfolio!AB6)</f>
        <v>154138.88204959658</v>
      </c>
      <c r="AD7" s="164">
        <f>IF(AD$2&lt;'Notes and Assumptions'!$D$45,0,Portfolio!AC6)</f>
        <v>161183.0774012661</v>
      </c>
      <c r="AE7" s="164">
        <f>IF(AE$2&lt;'Notes and Assumptions'!$D$45,0,Portfolio!AD6)</f>
        <v>4328726.909682293</v>
      </c>
      <c r="AF7" s="164">
        <f>IF(AF$2&lt;'Notes and Assumptions'!$D$45,0,Portfolio!AE6)</f>
        <v>176225.85484995248</v>
      </c>
      <c r="AG7" s="164">
        <f>IF(AG$2&lt;'Notes and Assumptions'!$D$45,0,Portfolio!AF6)</f>
        <v>184251.8741863251</v>
      </c>
      <c r="AH7" s="164">
        <f>IF(AH$2&lt;'Notes and Assumptions'!$D$45,0,Portfolio!AG6)</f>
        <v>192633.53049497196</v>
      </c>
      <c r="AI7" s="164">
        <f>IF(AI$2&lt;'Notes and Assumptions'!$D$45,0,Portfolio!AH6)</f>
        <v>201385.9601432743</v>
      </c>
      <c r="AJ7" s="164">
        <f>IF(AJ$2&lt;'Notes and Assumptions'!$D$45,0,Portfolio!AI6)</f>
        <v>210524.903552036</v>
      </c>
      <c r="AK7" s="164">
        <f>IF(AK$2&lt;'Notes and Assumptions'!$D$45,0,Portfolio!AJ6)</f>
        <v>220066.72660182838</v>
      </c>
      <c r="AL7" s="164">
        <f>IF(AL$2&lt;'Notes and Assumptions'!$D$45,0,Portfolio!AK6)</f>
        <v>230028.44260443613</v>
      </c>
      <c r="AM7" s="164">
        <f>IF(AM$2&lt;'Notes and Assumptions'!$D$45,0,Portfolio!AL6)</f>
        <v>240427.73483871095</v>
      </c>
      <c r="AN7" s="164">
        <f>IF(AN$2&lt;'Notes and Assumptions'!$D$45,0,Portfolio!AM6)</f>
        <v>251282.9796484447</v>
      </c>
      <c r="AO7" s="164">
        <f>IF(AO$2&lt;'Notes and Assumptions'!$D$45,0,Portfolio!AN6)</f>
        <v>12650484.01915527</v>
      </c>
      <c r="AP7" s="164">
        <f>IF(AP$2&lt;'Notes and Assumptions'!$D$45,0,Portfolio!AO6)</f>
        <v>0</v>
      </c>
      <c r="AQ7" s="164">
        <f>IF(AQ$2&lt;'Notes and Assumptions'!$D$45,0,Portfolio!AP6)</f>
        <v>0</v>
      </c>
      <c r="AR7" s="164">
        <f>IF(AR$2&lt;'Notes and Assumptions'!$D$45,0,Portfolio!AQ6)</f>
        <v>0</v>
      </c>
      <c r="AS7" s="164">
        <f>IF(AS$2&lt;'Notes and Assumptions'!$D$45,0,Portfolio!AR6)</f>
        <v>0</v>
      </c>
      <c r="AT7" s="164">
        <f>IF(AT$2&lt;'Notes and Assumptions'!$D$45,0,Portfolio!AS6)</f>
        <v>0</v>
      </c>
      <c r="AU7" s="164">
        <f>IF(AU$2&lt;'Notes and Assumptions'!$D$45,0,Portfolio!AT6)</f>
        <v>0</v>
      </c>
      <c r="AV7" s="164">
        <f>IF(AV$2&lt;'Notes and Assumptions'!$D$45,0,Portfolio!AU6)</f>
        <v>0</v>
      </c>
      <c r="AW7" s="164">
        <f>IF(AW$2&lt;'Notes and Assumptions'!$D$45,0,Portfolio!AV6)</f>
        <v>0</v>
      </c>
      <c r="AX7" s="164">
        <f>IF(AX$2&lt;'Notes and Assumptions'!$D$45,0,Portfolio!AW6)</f>
        <v>0</v>
      </c>
      <c r="AY7" s="164">
        <f>IF(AY$2&lt;'Notes and Assumptions'!$D$45,0,Portfolio!AX6)</f>
        <v>0</v>
      </c>
      <c r="AZ7" s="164">
        <f>IF(AZ$2&lt;'Notes and Assumptions'!$D$45,0,Portfolio!AY6)</f>
        <v>0</v>
      </c>
      <c r="BA7" s="164">
        <f>IF(BA$2&lt;'Notes and Assumptions'!$D$45,0,Portfolio!AZ6)</f>
        <v>0</v>
      </c>
      <c r="BB7" s="164">
        <f>IF(BB$2&lt;'Notes and Assumptions'!$D$45,0,Portfolio!BA6)</f>
        <v>0</v>
      </c>
    </row>
    <row r="8" spans="1:54" ht="12.75">
      <c r="A8" t="s">
        <v>386</v>
      </c>
      <c r="B8" s="86" t="s">
        <v>57</v>
      </c>
      <c r="C8" s="257">
        <f t="shared" si="2"/>
        <v>23543383.0485482</v>
      </c>
      <c r="D8" s="164"/>
      <c r="E8" s="164">
        <f>IF(E$2&lt;'Notes and Assumptions'!$D$45,0,Portfolio!D7)</f>
        <v>0</v>
      </c>
      <c r="F8" s="164">
        <f>IF(F$2&lt;'Notes and Assumptions'!$D$45,0,Portfolio!E7)</f>
        <v>0</v>
      </c>
      <c r="G8" s="164">
        <f>IF(G$2&lt;'Notes and Assumptions'!$D$45,0,Portfolio!F7)</f>
        <v>0</v>
      </c>
      <c r="H8" s="164">
        <f>IF(H$2&lt;'Notes and Assumptions'!$D$45,0,Portfolio!G7)</f>
        <v>-72314.25225000002</v>
      </c>
      <c r="I8" s="164">
        <f>IF(I$2&lt;'Notes and Assumptions'!$D$45,0,Portfolio!H7)</f>
        <v>-21432.307340749998</v>
      </c>
      <c r="J8" s="164">
        <f>IF(J$2&lt;'Notes and Assumptions'!$D$45,0,Portfolio!I7)</f>
        <v>-16422.346282062746</v>
      </c>
      <c r="K8" s="164">
        <f>IF(K$2&lt;'Notes and Assumptions'!$D$45,0,Portfolio!J7)</f>
        <v>-17349.844704940322</v>
      </c>
      <c r="L8" s="164">
        <f>IF(L$2&lt;'Notes and Assumptions'!$D$45,0,Portfolio!K7)</f>
        <v>61717.61618163274</v>
      </c>
      <c r="M8" s="164">
        <f>IF(M$2&lt;'Notes and Assumptions'!$D$45,0,Portfolio!L7)</f>
        <v>64517.52741519142</v>
      </c>
      <c r="N8" s="164">
        <f>IF(N$2&lt;'Notes and Assumptions'!$D$45,0,Portfolio!M7)</f>
        <v>67440.79371999708</v>
      </c>
      <c r="O8" s="164">
        <f>IF(O$2&lt;'Notes and Assumptions'!$D$45,0,Portfolio!N7)</f>
        <v>70492.61803200244</v>
      </c>
      <c r="P8" s="164">
        <f>IF(P$2&lt;'Notes and Assumptions'!$D$45,0,Portfolio!O7)</f>
        <v>82036.57251401056</v>
      </c>
      <c r="Q8" s="164">
        <f>IF(Q$2&lt;'Notes and Assumptions'!$D$45,0,Portfolio!P7)</f>
        <v>1271015.2027577392</v>
      </c>
      <c r="R8" s="164">
        <f>IF(R$2&lt;'Notes and Assumptions'!$D$45,0,Portfolio!Q7)</f>
        <v>89840.3280460452</v>
      </c>
      <c r="S8" s="164">
        <f>IF(S$2&lt;'Notes and Assumptions'!$D$45,0,Portfolio!R7)</f>
        <v>93996.45528248585</v>
      </c>
      <c r="T8" s="164">
        <f>IF(T$2&lt;'Notes and Assumptions'!$D$45,0,Portfolio!S7)</f>
        <v>98340.79281226361</v>
      </c>
      <c r="U8" s="164">
        <f>IF(U$2&lt;'Notes and Assumptions'!$D$45,0,Portfolio!T7)</f>
        <v>102881.61266937692</v>
      </c>
      <c r="V8" s="164">
        <f>IF(V$2&lt;'Notes and Assumptions'!$D$45,0,Portfolio!U7)</f>
        <v>107627.53458507109</v>
      </c>
      <c r="W8" s="164">
        <f>IF(W$2&lt;'Notes and Assumptions'!$D$45,0,Portfolio!V7)</f>
        <v>112587.53956961268</v>
      </c>
      <c r="X8" s="164">
        <f>IF(X$2&lt;'Notes and Assumptions'!$D$45,0,Portfolio!W7)</f>
        <v>117770.98395429918</v>
      </c>
      <c r="Y8" s="164">
        <f>IF(Y$2&lt;'Notes and Assumptions'!$D$45,0,Portfolio!X7)</f>
        <v>123187.61390415333</v>
      </c>
      <c r="Z8" s="164">
        <f>IF(Z$2&lt;'Notes and Assumptions'!$D$45,0,Portfolio!Y7)</f>
        <v>128847.58041155286</v>
      </c>
      <c r="AA8" s="164">
        <f>IF(AA$2&lt;'Notes and Assumptions'!$D$45,0,Portfolio!Z7)</f>
        <v>1588904.4771458956</v>
      </c>
      <c r="AB8" s="164">
        <f>IF(AB$2&lt;'Notes and Assumptions'!$D$45,0,Portfolio!AA7)</f>
        <v>140940.24461332976</v>
      </c>
      <c r="AC8" s="164">
        <f>IF(AC$2&lt;'Notes and Assumptions'!$D$45,0,Portfolio!AB7)</f>
        <v>147395.41030288942</v>
      </c>
      <c r="AD8" s="164">
        <f>IF(AD$2&lt;'Notes and Assumptions'!$D$45,0,Portfolio!AC7)</f>
        <v>154138.88204959658</v>
      </c>
      <c r="AE8" s="164">
        <f>IF(AE$2&lt;'Notes and Assumptions'!$D$45,0,Portfolio!AD7)</f>
        <v>161183.0774012661</v>
      </c>
      <c r="AF8" s="164">
        <f>IF(AF$2&lt;'Notes and Assumptions'!$D$45,0,Portfolio!AE7)</f>
        <v>4328726.909682293</v>
      </c>
      <c r="AG8" s="164">
        <f>IF(AG$2&lt;'Notes and Assumptions'!$D$45,0,Portfolio!AF7)</f>
        <v>176225.85484995248</v>
      </c>
      <c r="AH8" s="164">
        <f>IF(AH$2&lt;'Notes and Assumptions'!$D$45,0,Portfolio!AG7)</f>
        <v>184251.8741863251</v>
      </c>
      <c r="AI8" s="164">
        <f>IF(AI$2&lt;'Notes and Assumptions'!$D$45,0,Portfolio!AH7)</f>
        <v>192633.53049497196</v>
      </c>
      <c r="AJ8" s="164">
        <f>IF(AJ$2&lt;'Notes and Assumptions'!$D$45,0,Portfolio!AI7)</f>
        <v>201385.9601432743</v>
      </c>
      <c r="AK8" s="164">
        <f>IF(AK$2&lt;'Notes and Assumptions'!$D$45,0,Portfolio!AJ7)</f>
        <v>210524.903552036</v>
      </c>
      <c r="AL8" s="164">
        <f>IF(AL$2&lt;'Notes and Assumptions'!$D$45,0,Portfolio!AK7)</f>
        <v>220066.72660182838</v>
      </c>
      <c r="AM8" s="164">
        <f>IF(AM$2&lt;'Notes and Assumptions'!$D$45,0,Portfolio!AL7)</f>
        <v>230028.44260443613</v>
      </c>
      <c r="AN8" s="164">
        <f>IF(AN$2&lt;'Notes and Assumptions'!$D$45,0,Portfolio!AM7)</f>
        <v>240427.73483871095</v>
      </c>
      <c r="AO8" s="164">
        <f>IF(AO$2&lt;'Notes and Assumptions'!$D$45,0,Portfolio!AN7)</f>
        <v>251282.9796484447</v>
      </c>
      <c r="AP8" s="164">
        <f>IF(AP$2&lt;'Notes and Assumptions'!$D$45,0,Portfolio!AO7)</f>
        <v>12650484.01915527</v>
      </c>
      <c r="AQ8" s="164">
        <f>IF(AQ$2&lt;'Notes and Assumptions'!$D$45,0,Portfolio!AP7)</f>
        <v>0</v>
      </c>
      <c r="AR8" s="164">
        <f>IF(AR$2&lt;'Notes and Assumptions'!$D$45,0,Portfolio!AQ7)</f>
        <v>0</v>
      </c>
      <c r="AS8" s="164">
        <f>IF(AS$2&lt;'Notes and Assumptions'!$D$45,0,Portfolio!AR7)</f>
        <v>0</v>
      </c>
      <c r="AT8" s="164">
        <f>IF(AT$2&lt;'Notes and Assumptions'!$D$45,0,Portfolio!AS7)</f>
        <v>0</v>
      </c>
      <c r="AU8" s="164">
        <f>IF(AU$2&lt;'Notes and Assumptions'!$D$45,0,Portfolio!AT7)</f>
        <v>0</v>
      </c>
      <c r="AV8" s="164">
        <f>IF(AV$2&lt;'Notes and Assumptions'!$D$45,0,Portfolio!AU7)</f>
        <v>0</v>
      </c>
      <c r="AW8" s="164">
        <f>IF(AW$2&lt;'Notes and Assumptions'!$D$45,0,Portfolio!AV7)</f>
        <v>0</v>
      </c>
      <c r="AX8" s="164">
        <f>IF(AX$2&lt;'Notes and Assumptions'!$D$45,0,Portfolio!AW7)</f>
        <v>0</v>
      </c>
      <c r="AY8" s="164">
        <f>IF(AY$2&lt;'Notes and Assumptions'!$D$45,0,Portfolio!AX7)</f>
        <v>0</v>
      </c>
      <c r="AZ8" s="164">
        <f>IF(AZ$2&lt;'Notes and Assumptions'!$D$45,0,Portfolio!AY7)</f>
        <v>0</v>
      </c>
      <c r="BA8" s="164">
        <f>IF(BA$2&lt;'Notes and Assumptions'!$D$45,0,Portfolio!AZ7)</f>
        <v>0</v>
      </c>
      <c r="BB8" s="164">
        <f>IF(BB$2&lt;'Notes and Assumptions'!$D$45,0,Portfolio!BA7)</f>
        <v>0</v>
      </c>
    </row>
    <row r="9" spans="1:54" ht="12.75">
      <c r="A9" t="s">
        <v>387</v>
      </c>
      <c r="B9" s="86" t="s">
        <v>57</v>
      </c>
      <c r="C9" s="257">
        <f t="shared" si="2"/>
        <v>23543383.0485482</v>
      </c>
      <c r="D9" s="164"/>
      <c r="E9" s="164">
        <f>IF(E$2&lt;'Notes and Assumptions'!$D$45,0,Portfolio!D8)</f>
        <v>0</v>
      </c>
      <c r="F9" s="164">
        <f>IF(F$2&lt;'Notes and Assumptions'!$D$45,0,Portfolio!E8)</f>
        <v>0</v>
      </c>
      <c r="G9" s="164">
        <f>IF(G$2&lt;'Notes and Assumptions'!$D$45,0,Portfolio!F8)</f>
        <v>0</v>
      </c>
      <c r="H9" s="164">
        <f>IF(H$2&lt;'Notes and Assumptions'!$D$45,0,Portfolio!G8)</f>
        <v>0</v>
      </c>
      <c r="I9" s="164">
        <f>IF(I$2&lt;'Notes and Assumptions'!$D$45,0,Portfolio!H8)</f>
        <v>-72314.25225000002</v>
      </c>
      <c r="J9" s="164">
        <f>IF(J$2&lt;'Notes and Assumptions'!$D$45,0,Portfolio!I8)</f>
        <v>-21432.307340749998</v>
      </c>
      <c r="K9" s="164">
        <f>IF(K$2&lt;'Notes and Assumptions'!$D$45,0,Portfolio!J8)</f>
        <v>-16422.346282062746</v>
      </c>
      <c r="L9" s="164">
        <f>IF(L$2&lt;'Notes and Assumptions'!$D$45,0,Portfolio!K8)</f>
        <v>-17349.844704940322</v>
      </c>
      <c r="M9" s="164">
        <f>IF(M$2&lt;'Notes and Assumptions'!$D$45,0,Portfolio!L8)</f>
        <v>61717.61618163274</v>
      </c>
      <c r="N9" s="164">
        <f>IF(N$2&lt;'Notes and Assumptions'!$D$45,0,Portfolio!M8)</f>
        <v>64517.52741519142</v>
      </c>
      <c r="O9" s="164">
        <f>IF(O$2&lt;'Notes and Assumptions'!$D$45,0,Portfolio!N8)</f>
        <v>67440.79371999708</v>
      </c>
      <c r="P9" s="164">
        <f>IF(P$2&lt;'Notes and Assumptions'!$D$45,0,Portfolio!O8)</f>
        <v>70492.61803200244</v>
      </c>
      <c r="Q9" s="164">
        <f>IF(Q$2&lt;'Notes and Assumptions'!$D$45,0,Portfolio!P8)</f>
        <v>82036.57251401056</v>
      </c>
      <c r="R9" s="164">
        <f>IF(R$2&lt;'Notes and Assumptions'!$D$45,0,Portfolio!Q8)</f>
        <v>1271015.2027577392</v>
      </c>
      <c r="S9" s="164">
        <f>IF(S$2&lt;'Notes and Assumptions'!$D$45,0,Portfolio!R8)</f>
        <v>89840.3280460452</v>
      </c>
      <c r="T9" s="164">
        <f>IF(T$2&lt;'Notes and Assumptions'!$D$45,0,Portfolio!S8)</f>
        <v>93996.45528248585</v>
      </c>
      <c r="U9" s="164">
        <f>IF(U$2&lt;'Notes and Assumptions'!$D$45,0,Portfolio!T8)</f>
        <v>98340.79281226361</v>
      </c>
      <c r="V9" s="164">
        <f>IF(V$2&lt;'Notes and Assumptions'!$D$45,0,Portfolio!U8)</f>
        <v>102881.61266937692</v>
      </c>
      <c r="W9" s="164">
        <f>IF(W$2&lt;'Notes and Assumptions'!$D$45,0,Portfolio!V8)</f>
        <v>107627.53458507109</v>
      </c>
      <c r="X9" s="164">
        <f>IF(X$2&lt;'Notes and Assumptions'!$D$45,0,Portfolio!W8)</f>
        <v>112587.53956961268</v>
      </c>
      <c r="Y9" s="164">
        <f>IF(Y$2&lt;'Notes and Assumptions'!$D$45,0,Portfolio!X8)</f>
        <v>117770.98395429918</v>
      </c>
      <c r="Z9" s="164">
        <f>IF(Z$2&lt;'Notes and Assumptions'!$D$45,0,Portfolio!Y8)</f>
        <v>123187.61390415333</v>
      </c>
      <c r="AA9" s="164">
        <f>IF(AA$2&lt;'Notes and Assumptions'!$D$45,0,Portfolio!Z8)</f>
        <v>128847.58041155286</v>
      </c>
      <c r="AB9" s="164">
        <f>IF(AB$2&lt;'Notes and Assumptions'!$D$45,0,Portfolio!AA8)</f>
        <v>1588904.4771458956</v>
      </c>
      <c r="AC9" s="164">
        <f>IF(AC$2&lt;'Notes and Assumptions'!$D$45,0,Portfolio!AB8)</f>
        <v>140940.24461332976</v>
      </c>
      <c r="AD9" s="164">
        <f>IF(AD$2&lt;'Notes and Assumptions'!$D$45,0,Portfolio!AC8)</f>
        <v>147395.41030288942</v>
      </c>
      <c r="AE9" s="164">
        <f>IF(AE$2&lt;'Notes and Assumptions'!$D$45,0,Portfolio!AD8)</f>
        <v>154138.88204959658</v>
      </c>
      <c r="AF9" s="164">
        <f>IF(AF$2&lt;'Notes and Assumptions'!$D$45,0,Portfolio!AE8)</f>
        <v>161183.0774012661</v>
      </c>
      <c r="AG9" s="164">
        <f>IF(AG$2&lt;'Notes and Assumptions'!$D$45,0,Portfolio!AF8)</f>
        <v>4328726.909682293</v>
      </c>
      <c r="AH9" s="164">
        <f>IF(AH$2&lt;'Notes and Assumptions'!$D$45,0,Portfolio!AG8)</f>
        <v>176225.85484995248</v>
      </c>
      <c r="AI9" s="164">
        <f>IF(AI$2&lt;'Notes and Assumptions'!$D$45,0,Portfolio!AH8)</f>
        <v>184251.8741863251</v>
      </c>
      <c r="AJ9" s="164">
        <f>IF(AJ$2&lt;'Notes and Assumptions'!$D$45,0,Portfolio!AI8)</f>
        <v>192633.53049497196</v>
      </c>
      <c r="AK9" s="164">
        <f>IF(AK$2&lt;'Notes and Assumptions'!$D$45,0,Portfolio!AJ8)</f>
        <v>201385.9601432743</v>
      </c>
      <c r="AL9" s="164">
        <f>IF(AL$2&lt;'Notes and Assumptions'!$D$45,0,Portfolio!AK8)</f>
        <v>210524.903552036</v>
      </c>
      <c r="AM9" s="164">
        <f>IF(AM$2&lt;'Notes and Assumptions'!$D$45,0,Portfolio!AL8)</f>
        <v>220066.72660182838</v>
      </c>
      <c r="AN9" s="164">
        <f>IF(AN$2&lt;'Notes and Assumptions'!$D$45,0,Portfolio!AM8)</f>
        <v>230028.44260443613</v>
      </c>
      <c r="AO9" s="164">
        <f>IF(AO$2&lt;'Notes and Assumptions'!$D$45,0,Portfolio!AN8)</f>
        <v>240427.73483871095</v>
      </c>
      <c r="AP9" s="164">
        <f>IF(AP$2&lt;'Notes and Assumptions'!$D$45,0,Portfolio!AO8)</f>
        <v>251282.9796484447</v>
      </c>
      <c r="AQ9" s="164">
        <f>IF(AQ$2&lt;'Notes and Assumptions'!$D$45,0,Portfolio!AP8)</f>
        <v>12650484.01915527</v>
      </c>
      <c r="AR9" s="164">
        <f>IF(AR$2&lt;'Notes and Assumptions'!$D$45,0,Portfolio!AQ8)</f>
        <v>0</v>
      </c>
      <c r="AS9" s="164">
        <f>IF(AS$2&lt;'Notes and Assumptions'!$D$45,0,Portfolio!AR8)</f>
        <v>0</v>
      </c>
      <c r="AT9" s="164">
        <f>IF(AT$2&lt;'Notes and Assumptions'!$D$45,0,Portfolio!AS8)</f>
        <v>0</v>
      </c>
      <c r="AU9" s="164">
        <f>IF(AU$2&lt;'Notes and Assumptions'!$D$45,0,Portfolio!AT8)</f>
        <v>0</v>
      </c>
      <c r="AV9" s="164">
        <f>IF(AV$2&lt;'Notes and Assumptions'!$D$45,0,Portfolio!AU8)</f>
        <v>0</v>
      </c>
      <c r="AW9" s="164">
        <f>IF(AW$2&lt;'Notes and Assumptions'!$D$45,0,Portfolio!AV8)</f>
        <v>0</v>
      </c>
      <c r="AX9" s="164">
        <f>IF(AX$2&lt;'Notes and Assumptions'!$D$45,0,Portfolio!AW8)</f>
        <v>0</v>
      </c>
      <c r="AY9" s="164">
        <f>IF(AY$2&lt;'Notes and Assumptions'!$D$45,0,Portfolio!AX8)</f>
        <v>0</v>
      </c>
      <c r="AZ9" s="164">
        <f>IF(AZ$2&lt;'Notes and Assumptions'!$D$45,0,Portfolio!AY8)</f>
        <v>0</v>
      </c>
      <c r="BA9" s="164">
        <f>IF(BA$2&lt;'Notes and Assumptions'!$D$45,0,Portfolio!AZ8)</f>
        <v>0</v>
      </c>
      <c r="BB9" s="164">
        <f>IF(BB$2&lt;'Notes and Assumptions'!$D$45,0,Portfolio!BA8)</f>
        <v>0</v>
      </c>
    </row>
    <row r="10" spans="1:54" ht="12.75">
      <c r="A10" t="s">
        <v>388</v>
      </c>
      <c r="B10" s="86" t="s">
        <v>57</v>
      </c>
      <c r="C10" s="257">
        <f t="shared" si="2"/>
        <v>23543383.0485482</v>
      </c>
      <c r="D10" s="164"/>
      <c r="E10" s="164">
        <f>IF(E$2&lt;'Notes and Assumptions'!$D$45,0,Portfolio!D9)</f>
        <v>0</v>
      </c>
      <c r="F10" s="164">
        <f>IF(F$2&lt;'Notes and Assumptions'!$D$45,0,Portfolio!E9)</f>
        <v>0</v>
      </c>
      <c r="G10" s="164">
        <f>IF(G$2&lt;'Notes and Assumptions'!$D$45,0,Portfolio!F9)</f>
        <v>0</v>
      </c>
      <c r="H10" s="164">
        <f>IF(H$2&lt;'Notes and Assumptions'!$D$45,0,Portfolio!G9)</f>
        <v>0</v>
      </c>
      <c r="I10" s="164">
        <f>IF(I$2&lt;'Notes and Assumptions'!$D$45,0,Portfolio!H9)</f>
        <v>0</v>
      </c>
      <c r="J10" s="164">
        <f>IF(J$2&lt;'Notes and Assumptions'!$D$45,0,Portfolio!I9)</f>
        <v>-72314.25225000002</v>
      </c>
      <c r="K10" s="164">
        <f>IF(K$2&lt;'Notes and Assumptions'!$D$45,0,Portfolio!J9)</f>
        <v>-21432.307340749998</v>
      </c>
      <c r="L10" s="164">
        <f>IF(L$2&lt;'Notes and Assumptions'!$D$45,0,Portfolio!K9)</f>
        <v>-16422.346282062746</v>
      </c>
      <c r="M10" s="164">
        <f>IF(M$2&lt;'Notes and Assumptions'!$D$45,0,Portfolio!L9)</f>
        <v>-17349.844704940322</v>
      </c>
      <c r="N10" s="164">
        <f>IF(N$2&lt;'Notes and Assumptions'!$D$45,0,Portfolio!M9)</f>
        <v>61717.61618163274</v>
      </c>
      <c r="O10" s="164">
        <f>IF(O$2&lt;'Notes and Assumptions'!$D$45,0,Portfolio!N9)</f>
        <v>64517.52741519142</v>
      </c>
      <c r="P10" s="164">
        <f>IF(P$2&lt;'Notes and Assumptions'!$D$45,0,Portfolio!O9)</f>
        <v>67440.79371999708</v>
      </c>
      <c r="Q10" s="164">
        <f>IF(Q$2&lt;'Notes and Assumptions'!$D$45,0,Portfolio!P9)</f>
        <v>70492.61803200244</v>
      </c>
      <c r="R10" s="164">
        <f>IF(R$2&lt;'Notes and Assumptions'!$D$45,0,Portfolio!Q9)</f>
        <v>82036.57251401056</v>
      </c>
      <c r="S10" s="164">
        <f>IF(S$2&lt;'Notes and Assumptions'!$D$45,0,Portfolio!R9)</f>
        <v>1271015.2027577392</v>
      </c>
      <c r="T10" s="164">
        <f>IF(T$2&lt;'Notes and Assumptions'!$D$45,0,Portfolio!S9)</f>
        <v>89840.3280460452</v>
      </c>
      <c r="U10" s="164">
        <f>IF(U$2&lt;'Notes and Assumptions'!$D$45,0,Portfolio!T9)</f>
        <v>93996.45528248585</v>
      </c>
      <c r="V10" s="164">
        <f>IF(V$2&lt;'Notes and Assumptions'!$D$45,0,Portfolio!U9)</f>
        <v>98340.79281226361</v>
      </c>
      <c r="W10" s="164">
        <f>IF(W$2&lt;'Notes and Assumptions'!$D$45,0,Portfolio!V9)</f>
        <v>102881.61266937692</v>
      </c>
      <c r="X10" s="164">
        <f>IF(X$2&lt;'Notes and Assumptions'!$D$45,0,Portfolio!W9)</f>
        <v>107627.53458507109</v>
      </c>
      <c r="Y10" s="164">
        <f>IF(Y$2&lt;'Notes and Assumptions'!$D$45,0,Portfolio!X9)</f>
        <v>112587.53956961268</v>
      </c>
      <c r="Z10" s="164">
        <f>IF(Z$2&lt;'Notes and Assumptions'!$D$45,0,Portfolio!Y9)</f>
        <v>117770.98395429918</v>
      </c>
      <c r="AA10" s="164">
        <f>IF(AA$2&lt;'Notes and Assumptions'!$D$45,0,Portfolio!Z9)</f>
        <v>123187.61390415333</v>
      </c>
      <c r="AB10" s="164">
        <f>IF(AB$2&lt;'Notes and Assumptions'!$D$45,0,Portfolio!AA9)</f>
        <v>128847.58041155286</v>
      </c>
      <c r="AC10" s="164">
        <f>IF(AC$2&lt;'Notes and Assumptions'!$D$45,0,Portfolio!AB9)</f>
        <v>1588904.4771458956</v>
      </c>
      <c r="AD10" s="164">
        <f>IF(AD$2&lt;'Notes and Assumptions'!$D$45,0,Portfolio!AC9)</f>
        <v>140940.24461332976</v>
      </c>
      <c r="AE10" s="164">
        <f>IF(AE$2&lt;'Notes and Assumptions'!$D$45,0,Portfolio!AD9)</f>
        <v>147395.41030288942</v>
      </c>
      <c r="AF10" s="164">
        <f>IF(AF$2&lt;'Notes and Assumptions'!$D$45,0,Portfolio!AE9)</f>
        <v>154138.88204959658</v>
      </c>
      <c r="AG10" s="164">
        <f>IF(AG$2&lt;'Notes and Assumptions'!$D$45,0,Portfolio!AF9)</f>
        <v>161183.0774012661</v>
      </c>
      <c r="AH10" s="164">
        <f>IF(AH$2&lt;'Notes and Assumptions'!$D$45,0,Portfolio!AG9)</f>
        <v>4328726.909682293</v>
      </c>
      <c r="AI10" s="164">
        <f>IF(AI$2&lt;'Notes and Assumptions'!$D$45,0,Portfolio!AH9)</f>
        <v>176225.85484995248</v>
      </c>
      <c r="AJ10" s="164">
        <f>IF(AJ$2&lt;'Notes and Assumptions'!$D$45,0,Portfolio!AI9)</f>
        <v>184251.8741863251</v>
      </c>
      <c r="AK10" s="164">
        <f>IF(AK$2&lt;'Notes and Assumptions'!$D$45,0,Portfolio!AJ9)</f>
        <v>192633.53049497196</v>
      </c>
      <c r="AL10" s="164">
        <f>IF(AL$2&lt;'Notes and Assumptions'!$D$45,0,Portfolio!AK9)</f>
        <v>201385.9601432743</v>
      </c>
      <c r="AM10" s="164">
        <f>IF(AM$2&lt;'Notes and Assumptions'!$D$45,0,Portfolio!AL9)</f>
        <v>210524.903552036</v>
      </c>
      <c r="AN10" s="164">
        <f>IF(AN$2&lt;'Notes and Assumptions'!$D$45,0,Portfolio!AM9)</f>
        <v>220066.72660182838</v>
      </c>
      <c r="AO10" s="164">
        <f>IF(AO$2&lt;'Notes and Assumptions'!$D$45,0,Portfolio!AN9)</f>
        <v>230028.44260443613</v>
      </c>
      <c r="AP10" s="164">
        <f>IF(AP$2&lt;'Notes and Assumptions'!$D$45,0,Portfolio!AO9)</f>
        <v>240427.73483871095</v>
      </c>
      <c r="AQ10" s="164">
        <f>IF(AQ$2&lt;'Notes and Assumptions'!$D$45,0,Portfolio!AP9)</f>
        <v>251282.9796484447</v>
      </c>
      <c r="AR10" s="164">
        <f>IF(AR$2&lt;'Notes and Assumptions'!$D$45,0,Portfolio!AQ9)</f>
        <v>12650484.01915527</v>
      </c>
      <c r="AS10" s="164">
        <f>IF(AS$2&lt;'Notes and Assumptions'!$D$45,0,Portfolio!AR9)</f>
        <v>0</v>
      </c>
      <c r="AT10" s="164">
        <f>IF(AT$2&lt;'Notes and Assumptions'!$D$45,0,Portfolio!AS9)</f>
        <v>0</v>
      </c>
      <c r="AU10" s="164">
        <f>IF(AU$2&lt;'Notes and Assumptions'!$D$45,0,Portfolio!AT9)</f>
        <v>0</v>
      </c>
      <c r="AV10" s="164">
        <f>IF(AV$2&lt;'Notes and Assumptions'!$D$45,0,Portfolio!AU9)</f>
        <v>0</v>
      </c>
      <c r="AW10" s="164">
        <f>IF(AW$2&lt;'Notes and Assumptions'!$D$45,0,Portfolio!AV9)</f>
        <v>0</v>
      </c>
      <c r="AX10" s="164">
        <f>IF(AX$2&lt;'Notes and Assumptions'!$D$45,0,Portfolio!AW9)</f>
        <v>0</v>
      </c>
      <c r="AY10" s="164">
        <f>IF(AY$2&lt;'Notes and Assumptions'!$D$45,0,Portfolio!AX9)</f>
        <v>0</v>
      </c>
      <c r="AZ10" s="164">
        <f>IF(AZ$2&lt;'Notes and Assumptions'!$D$45,0,Portfolio!AY9)</f>
        <v>0</v>
      </c>
      <c r="BA10" s="164">
        <f>IF(BA$2&lt;'Notes and Assumptions'!$D$45,0,Portfolio!AZ9)</f>
        <v>0</v>
      </c>
      <c r="BB10" s="164">
        <f>IF(BB$2&lt;'Notes and Assumptions'!$D$45,0,Portfolio!BA9)</f>
        <v>0</v>
      </c>
    </row>
    <row r="11" spans="1:54" ht="12.75">
      <c r="A11" t="s">
        <v>389</v>
      </c>
      <c r="B11" s="86" t="s">
        <v>57</v>
      </c>
      <c r="C11" s="257">
        <f t="shared" si="2"/>
        <v>23543383.0485482</v>
      </c>
      <c r="D11" s="164"/>
      <c r="E11" s="164">
        <f>IF(E$2&lt;'Notes and Assumptions'!$D$45,0,Portfolio!D10)</f>
        <v>0</v>
      </c>
      <c r="F11" s="164">
        <f>IF(F$2&lt;'Notes and Assumptions'!$D$45,0,Portfolio!E10)</f>
        <v>0</v>
      </c>
      <c r="G11" s="164">
        <f>IF(G$2&lt;'Notes and Assumptions'!$D$45,0,Portfolio!F10)</f>
        <v>0</v>
      </c>
      <c r="H11" s="164">
        <f>IF(H$2&lt;'Notes and Assumptions'!$D$45,0,Portfolio!G10)</f>
        <v>0</v>
      </c>
      <c r="I11" s="164">
        <f>IF(I$2&lt;'Notes and Assumptions'!$D$45,0,Portfolio!H10)</f>
        <v>0</v>
      </c>
      <c r="J11" s="164">
        <f>IF(J$2&lt;'Notes and Assumptions'!$D$45,0,Portfolio!I10)</f>
        <v>0</v>
      </c>
      <c r="K11" s="164">
        <f>IF(K$2&lt;'Notes and Assumptions'!$D$45,0,Portfolio!J10)</f>
        <v>-72314.25225000002</v>
      </c>
      <c r="L11" s="164">
        <f>IF(L$2&lt;'Notes and Assumptions'!$D$45,0,Portfolio!K10)</f>
        <v>-21432.307340749998</v>
      </c>
      <c r="M11" s="164">
        <f>IF(M$2&lt;'Notes and Assumptions'!$D$45,0,Portfolio!L10)</f>
        <v>-16422.346282062746</v>
      </c>
      <c r="N11" s="164">
        <f>IF(N$2&lt;'Notes and Assumptions'!$D$45,0,Portfolio!M10)</f>
        <v>-17349.844704940322</v>
      </c>
      <c r="O11" s="164">
        <f>IF(O$2&lt;'Notes and Assumptions'!$D$45,0,Portfolio!N10)</f>
        <v>61717.61618163274</v>
      </c>
      <c r="P11" s="164">
        <f>IF(P$2&lt;'Notes and Assumptions'!$D$45,0,Portfolio!O10)</f>
        <v>64517.52741519142</v>
      </c>
      <c r="Q11" s="164">
        <f>IF(Q$2&lt;'Notes and Assumptions'!$D$45,0,Portfolio!P10)</f>
        <v>67440.79371999708</v>
      </c>
      <c r="R11" s="164">
        <f>IF(R$2&lt;'Notes and Assumptions'!$D$45,0,Portfolio!Q10)</f>
        <v>70492.61803200244</v>
      </c>
      <c r="S11" s="164">
        <f>IF(S$2&lt;'Notes and Assumptions'!$D$45,0,Portfolio!R10)</f>
        <v>82036.57251401056</v>
      </c>
      <c r="T11" s="164">
        <f>IF(T$2&lt;'Notes and Assumptions'!$D$45,0,Portfolio!S10)</f>
        <v>1271015.2027577392</v>
      </c>
      <c r="U11" s="164">
        <f>IF(U$2&lt;'Notes and Assumptions'!$D$45,0,Portfolio!T10)</f>
        <v>89840.3280460452</v>
      </c>
      <c r="V11" s="164">
        <f>IF(V$2&lt;'Notes and Assumptions'!$D$45,0,Portfolio!U10)</f>
        <v>93996.45528248585</v>
      </c>
      <c r="W11" s="164">
        <f>IF(W$2&lt;'Notes and Assumptions'!$D$45,0,Portfolio!V10)</f>
        <v>98340.79281226361</v>
      </c>
      <c r="X11" s="164">
        <f>IF(X$2&lt;'Notes and Assumptions'!$D$45,0,Portfolio!W10)</f>
        <v>102881.61266937692</v>
      </c>
      <c r="Y11" s="164">
        <f>IF(Y$2&lt;'Notes and Assumptions'!$D$45,0,Portfolio!X10)</f>
        <v>107627.53458507109</v>
      </c>
      <c r="Z11" s="164">
        <f>IF(Z$2&lt;'Notes and Assumptions'!$D$45,0,Portfolio!Y10)</f>
        <v>112587.53956961268</v>
      </c>
      <c r="AA11" s="164">
        <f>IF(AA$2&lt;'Notes and Assumptions'!$D$45,0,Portfolio!Z10)</f>
        <v>117770.98395429918</v>
      </c>
      <c r="AB11" s="164">
        <f>IF(AB$2&lt;'Notes and Assumptions'!$D$45,0,Portfolio!AA10)</f>
        <v>123187.61390415333</v>
      </c>
      <c r="AC11" s="164">
        <f>IF(AC$2&lt;'Notes and Assumptions'!$D$45,0,Portfolio!AB10)</f>
        <v>128847.58041155286</v>
      </c>
      <c r="AD11" s="164">
        <f>IF(AD$2&lt;'Notes and Assumptions'!$D$45,0,Portfolio!AC10)</f>
        <v>1588904.4771458956</v>
      </c>
      <c r="AE11" s="164">
        <f>IF(AE$2&lt;'Notes and Assumptions'!$D$45,0,Portfolio!AD10)</f>
        <v>140940.24461332976</v>
      </c>
      <c r="AF11" s="164">
        <f>IF(AF$2&lt;'Notes and Assumptions'!$D$45,0,Portfolio!AE10)</f>
        <v>147395.41030288942</v>
      </c>
      <c r="AG11" s="164">
        <f>IF(AG$2&lt;'Notes and Assumptions'!$D$45,0,Portfolio!AF10)</f>
        <v>154138.88204959658</v>
      </c>
      <c r="AH11" s="164">
        <f>IF(AH$2&lt;'Notes and Assumptions'!$D$45,0,Portfolio!AG10)</f>
        <v>161183.0774012661</v>
      </c>
      <c r="AI11" s="164">
        <f>IF(AI$2&lt;'Notes and Assumptions'!$D$45,0,Portfolio!AH10)</f>
        <v>4328726.909682293</v>
      </c>
      <c r="AJ11" s="164">
        <f>IF(AJ$2&lt;'Notes and Assumptions'!$D$45,0,Portfolio!AI10)</f>
        <v>176225.85484995248</v>
      </c>
      <c r="AK11" s="164">
        <f>IF(AK$2&lt;'Notes and Assumptions'!$D$45,0,Portfolio!AJ10)</f>
        <v>184251.8741863251</v>
      </c>
      <c r="AL11" s="164">
        <f>IF(AL$2&lt;'Notes and Assumptions'!$D$45,0,Portfolio!AK10)</f>
        <v>192633.53049497196</v>
      </c>
      <c r="AM11" s="164">
        <f>IF(AM$2&lt;'Notes and Assumptions'!$D$45,0,Portfolio!AL10)</f>
        <v>201385.9601432743</v>
      </c>
      <c r="AN11" s="164">
        <f>IF(AN$2&lt;'Notes and Assumptions'!$D$45,0,Portfolio!AM10)</f>
        <v>210524.903552036</v>
      </c>
      <c r="AO11" s="164">
        <f>IF(AO$2&lt;'Notes and Assumptions'!$D$45,0,Portfolio!AN10)</f>
        <v>220066.72660182838</v>
      </c>
      <c r="AP11" s="164">
        <f>IF(AP$2&lt;'Notes and Assumptions'!$D$45,0,Portfolio!AO10)</f>
        <v>230028.44260443613</v>
      </c>
      <c r="AQ11" s="164">
        <f>IF(AQ$2&lt;'Notes and Assumptions'!$D$45,0,Portfolio!AP10)</f>
        <v>240427.73483871095</v>
      </c>
      <c r="AR11" s="164">
        <f>IF(AR$2&lt;'Notes and Assumptions'!$D$45,0,Portfolio!AQ10)</f>
        <v>251282.9796484447</v>
      </c>
      <c r="AS11" s="164">
        <f>IF(AS$2&lt;'Notes and Assumptions'!$D$45,0,Portfolio!AR10)</f>
        <v>12650484.01915527</v>
      </c>
      <c r="AT11" s="164">
        <f>IF(AT$2&lt;'Notes and Assumptions'!$D$45,0,Portfolio!AS10)</f>
        <v>0</v>
      </c>
      <c r="AU11" s="164">
        <f>IF(AU$2&lt;'Notes and Assumptions'!$D$45,0,Portfolio!AT10)</f>
        <v>0</v>
      </c>
      <c r="AV11" s="164">
        <f>IF(AV$2&lt;'Notes and Assumptions'!$D$45,0,Portfolio!AU10)</f>
        <v>0</v>
      </c>
      <c r="AW11" s="164">
        <f>IF(AW$2&lt;'Notes and Assumptions'!$D$45,0,Portfolio!AV10)</f>
        <v>0</v>
      </c>
      <c r="AX11" s="164">
        <f>IF(AX$2&lt;'Notes and Assumptions'!$D$45,0,Portfolio!AW10)</f>
        <v>0</v>
      </c>
      <c r="AY11" s="164">
        <f>IF(AY$2&lt;'Notes and Assumptions'!$D$45,0,Portfolio!AX10)</f>
        <v>0</v>
      </c>
      <c r="AZ11" s="164">
        <f>IF(AZ$2&lt;'Notes and Assumptions'!$D$45,0,Portfolio!AY10)</f>
        <v>0</v>
      </c>
      <c r="BA11" s="164">
        <f>IF(BA$2&lt;'Notes and Assumptions'!$D$45,0,Portfolio!AZ10)</f>
        <v>0</v>
      </c>
      <c r="BB11" s="164">
        <f>IF(BB$2&lt;'Notes and Assumptions'!$D$45,0,Portfolio!BA10)</f>
        <v>0</v>
      </c>
    </row>
    <row r="12" spans="1:54" ht="12.75">
      <c r="A12" t="s">
        <v>390</v>
      </c>
      <c r="B12" s="86" t="s">
        <v>57</v>
      </c>
      <c r="C12" s="257">
        <f t="shared" si="2"/>
        <v>23543383.0485482</v>
      </c>
      <c r="D12" s="164"/>
      <c r="E12" s="164">
        <f>IF(E$2&lt;'Notes and Assumptions'!$D$45,0,Portfolio!D11)</f>
        <v>0</v>
      </c>
      <c r="F12" s="164">
        <f>IF(F$2&lt;'Notes and Assumptions'!$D$45,0,Portfolio!E11)</f>
        <v>0</v>
      </c>
      <c r="G12" s="164">
        <f>IF(G$2&lt;'Notes and Assumptions'!$D$45,0,Portfolio!F11)</f>
        <v>0</v>
      </c>
      <c r="H12" s="164">
        <f>IF(H$2&lt;'Notes and Assumptions'!$D$45,0,Portfolio!G11)</f>
        <v>0</v>
      </c>
      <c r="I12" s="164">
        <f>IF(I$2&lt;'Notes and Assumptions'!$D$45,0,Portfolio!H11)</f>
        <v>0</v>
      </c>
      <c r="J12" s="164">
        <f>IF(J$2&lt;'Notes and Assumptions'!$D$45,0,Portfolio!I11)</f>
        <v>0</v>
      </c>
      <c r="K12" s="164">
        <f>IF(K$2&lt;'Notes and Assumptions'!$D$45,0,Portfolio!J11)</f>
        <v>0</v>
      </c>
      <c r="L12" s="164">
        <f>IF(L$2&lt;'Notes and Assumptions'!$D$45,0,Portfolio!K11)</f>
        <v>-72314.25225000002</v>
      </c>
      <c r="M12" s="164">
        <f>IF(M$2&lt;'Notes and Assumptions'!$D$45,0,Portfolio!L11)</f>
        <v>-21432.307340749998</v>
      </c>
      <c r="N12" s="164">
        <f>IF(N$2&lt;'Notes and Assumptions'!$D$45,0,Portfolio!M11)</f>
        <v>-16422.346282062746</v>
      </c>
      <c r="O12" s="164">
        <f>IF(O$2&lt;'Notes and Assumptions'!$D$45,0,Portfolio!N11)</f>
        <v>-17349.844704940322</v>
      </c>
      <c r="P12" s="164">
        <f>IF(P$2&lt;'Notes and Assumptions'!$D$45,0,Portfolio!O11)</f>
        <v>61717.61618163274</v>
      </c>
      <c r="Q12" s="164">
        <f>IF(Q$2&lt;'Notes and Assumptions'!$D$45,0,Portfolio!P11)</f>
        <v>64517.52741519142</v>
      </c>
      <c r="R12" s="164">
        <f>IF(R$2&lt;'Notes and Assumptions'!$D$45,0,Portfolio!Q11)</f>
        <v>67440.79371999708</v>
      </c>
      <c r="S12" s="164">
        <f>IF(S$2&lt;'Notes and Assumptions'!$D$45,0,Portfolio!R11)</f>
        <v>70492.61803200244</v>
      </c>
      <c r="T12" s="164">
        <f>IF(T$2&lt;'Notes and Assumptions'!$D$45,0,Portfolio!S11)</f>
        <v>82036.57251401056</v>
      </c>
      <c r="U12" s="164">
        <f>IF(U$2&lt;'Notes and Assumptions'!$D$45,0,Portfolio!T11)</f>
        <v>1271015.2027577392</v>
      </c>
      <c r="V12" s="164">
        <f>IF(V$2&lt;'Notes and Assumptions'!$D$45,0,Portfolio!U11)</f>
        <v>89840.3280460452</v>
      </c>
      <c r="W12" s="164">
        <f>IF(W$2&lt;'Notes and Assumptions'!$D$45,0,Portfolio!V11)</f>
        <v>93996.45528248585</v>
      </c>
      <c r="X12" s="164">
        <f>IF(X$2&lt;'Notes and Assumptions'!$D$45,0,Portfolio!W11)</f>
        <v>98340.79281226361</v>
      </c>
      <c r="Y12" s="164">
        <f>IF(Y$2&lt;'Notes and Assumptions'!$D$45,0,Portfolio!X11)</f>
        <v>102881.61266937692</v>
      </c>
      <c r="Z12" s="164">
        <f>IF(Z$2&lt;'Notes and Assumptions'!$D$45,0,Portfolio!Y11)</f>
        <v>107627.53458507109</v>
      </c>
      <c r="AA12" s="164">
        <f>IF(AA$2&lt;'Notes and Assumptions'!$D$45,0,Portfolio!Z11)</f>
        <v>112587.53956961268</v>
      </c>
      <c r="AB12" s="164">
        <f>IF(AB$2&lt;'Notes and Assumptions'!$D$45,0,Portfolio!AA11)</f>
        <v>117770.98395429918</v>
      </c>
      <c r="AC12" s="164">
        <f>IF(AC$2&lt;'Notes and Assumptions'!$D$45,0,Portfolio!AB11)</f>
        <v>123187.61390415333</v>
      </c>
      <c r="AD12" s="164">
        <f>IF(AD$2&lt;'Notes and Assumptions'!$D$45,0,Portfolio!AC11)</f>
        <v>128847.58041155286</v>
      </c>
      <c r="AE12" s="164">
        <f>IF(AE$2&lt;'Notes and Assumptions'!$D$45,0,Portfolio!AD11)</f>
        <v>1588904.4771458956</v>
      </c>
      <c r="AF12" s="164">
        <f>IF(AF$2&lt;'Notes and Assumptions'!$D$45,0,Portfolio!AE11)</f>
        <v>140940.24461332976</v>
      </c>
      <c r="AG12" s="164">
        <f>IF(AG$2&lt;'Notes and Assumptions'!$D$45,0,Portfolio!AF11)</f>
        <v>147395.41030288942</v>
      </c>
      <c r="AH12" s="164">
        <f>IF(AH$2&lt;'Notes and Assumptions'!$D$45,0,Portfolio!AG11)</f>
        <v>154138.88204959658</v>
      </c>
      <c r="AI12" s="164">
        <f>IF(AI$2&lt;'Notes and Assumptions'!$D$45,0,Portfolio!AH11)</f>
        <v>161183.0774012661</v>
      </c>
      <c r="AJ12" s="164">
        <f>IF(AJ$2&lt;'Notes and Assumptions'!$D$45,0,Portfolio!AI11)</f>
        <v>4328726.909682293</v>
      </c>
      <c r="AK12" s="164">
        <f>IF(AK$2&lt;'Notes and Assumptions'!$D$45,0,Portfolio!AJ11)</f>
        <v>176225.85484995248</v>
      </c>
      <c r="AL12" s="164">
        <f>IF(AL$2&lt;'Notes and Assumptions'!$D$45,0,Portfolio!AK11)</f>
        <v>184251.8741863251</v>
      </c>
      <c r="AM12" s="164">
        <f>IF(AM$2&lt;'Notes and Assumptions'!$D$45,0,Portfolio!AL11)</f>
        <v>192633.53049497196</v>
      </c>
      <c r="AN12" s="164">
        <f>IF(AN$2&lt;'Notes and Assumptions'!$D$45,0,Portfolio!AM11)</f>
        <v>201385.9601432743</v>
      </c>
      <c r="AO12" s="164">
        <f>IF(AO$2&lt;'Notes and Assumptions'!$D$45,0,Portfolio!AN11)</f>
        <v>210524.903552036</v>
      </c>
      <c r="AP12" s="164">
        <f>IF(AP$2&lt;'Notes and Assumptions'!$D$45,0,Portfolio!AO11)</f>
        <v>220066.72660182838</v>
      </c>
      <c r="AQ12" s="164">
        <f>IF(AQ$2&lt;'Notes and Assumptions'!$D$45,0,Portfolio!AP11)</f>
        <v>230028.44260443613</v>
      </c>
      <c r="AR12" s="164">
        <f>IF(AR$2&lt;'Notes and Assumptions'!$D$45,0,Portfolio!AQ11)</f>
        <v>240427.73483871095</v>
      </c>
      <c r="AS12" s="164">
        <f>IF(AS$2&lt;'Notes and Assumptions'!$D$45,0,Portfolio!AR11)</f>
        <v>251282.9796484447</v>
      </c>
      <c r="AT12" s="164">
        <f>IF(AT$2&lt;'Notes and Assumptions'!$D$45,0,Portfolio!AS11)</f>
        <v>12650484.01915527</v>
      </c>
      <c r="AU12" s="164">
        <f>IF(AU$2&lt;'Notes and Assumptions'!$D$45,0,Portfolio!AT11)</f>
        <v>0</v>
      </c>
      <c r="AV12" s="164">
        <f>IF(AV$2&lt;'Notes and Assumptions'!$D$45,0,Portfolio!AU11)</f>
        <v>0</v>
      </c>
      <c r="AW12" s="164">
        <f>IF(AW$2&lt;'Notes and Assumptions'!$D$45,0,Portfolio!AV11)</f>
        <v>0</v>
      </c>
      <c r="AX12" s="164">
        <f>IF(AX$2&lt;'Notes and Assumptions'!$D$45,0,Portfolio!AW11)</f>
        <v>0</v>
      </c>
      <c r="AY12" s="164">
        <f>IF(AY$2&lt;'Notes and Assumptions'!$D$45,0,Portfolio!AX11)</f>
        <v>0</v>
      </c>
      <c r="AZ12" s="164">
        <f>IF(AZ$2&lt;'Notes and Assumptions'!$D$45,0,Portfolio!AY11)</f>
        <v>0</v>
      </c>
      <c r="BA12" s="164">
        <f>IF(BA$2&lt;'Notes and Assumptions'!$D$45,0,Portfolio!AZ11)</f>
        <v>0</v>
      </c>
      <c r="BB12" s="164">
        <f>IF(BB$2&lt;'Notes and Assumptions'!$D$45,0,Portfolio!BA11)</f>
        <v>0</v>
      </c>
    </row>
    <row r="13" spans="1:54" ht="12.75">
      <c r="A13" t="s">
        <v>391</v>
      </c>
      <c r="B13" s="86" t="s">
        <v>57</v>
      </c>
      <c r="C13" s="257">
        <f t="shared" si="2"/>
        <v>23543383.0485482</v>
      </c>
      <c r="D13" s="164"/>
      <c r="E13" s="164">
        <f>IF(E$2&lt;'Notes and Assumptions'!$D$45,0,Portfolio!D12)</f>
        <v>0</v>
      </c>
      <c r="F13" s="164">
        <f>IF(F$2&lt;'Notes and Assumptions'!$D$45,0,Portfolio!E12)</f>
        <v>0</v>
      </c>
      <c r="G13" s="164">
        <f>IF(G$2&lt;'Notes and Assumptions'!$D$45,0,Portfolio!F12)</f>
        <v>0</v>
      </c>
      <c r="H13" s="164">
        <f>IF(H$2&lt;'Notes and Assumptions'!$D$45,0,Portfolio!G12)</f>
        <v>0</v>
      </c>
      <c r="I13" s="164">
        <f>IF(I$2&lt;'Notes and Assumptions'!$D$45,0,Portfolio!H12)</f>
        <v>0</v>
      </c>
      <c r="J13" s="164">
        <f>IF(J$2&lt;'Notes and Assumptions'!$D$45,0,Portfolio!I12)</f>
        <v>0</v>
      </c>
      <c r="K13" s="164">
        <f>IF(K$2&lt;'Notes and Assumptions'!$D$45,0,Portfolio!J12)</f>
        <v>0</v>
      </c>
      <c r="L13" s="164">
        <f>IF(L$2&lt;'Notes and Assumptions'!$D$45,0,Portfolio!K12)</f>
        <v>0</v>
      </c>
      <c r="M13" s="164">
        <f>IF(M$2&lt;'Notes and Assumptions'!$D$45,0,Portfolio!L12)</f>
        <v>-72314.25225000002</v>
      </c>
      <c r="N13" s="164">
        <f>IF(N$2&lt;'Notes and Assumptions'!$D$45,0,Portfolio!M12)</f>
        <v>-21432.307340749998</v>
      </c>
      <c r="O13" s="164">
        <f>IF(O$2&lt;'Notes and Assumptions'!$D$45,0,Portfolio!N12)</f>
        <v>-16422.346282062746</v>
      </c>
      <c r="P13" s="164">
        <f>IF(P$2&lt;'Notes and Assumptions'!$D$45,0,Portfolio!O12)</f>
        <v>-17349.844704940322</v>
      </c>
      <c r="Q13" s="164">
        <f>IF(Q$2&lt;'Notes and Assumptions'!$D$45,0,Portfolio!P12)</f>
        <v>61717.61618163274</v>
      </c>
      <c r="R13" s="164">
        <f>IF(R$2&lt;'Notes and Assumptions'!$D$45,0,Portfolio!Q12)</f>
        <v>64517.52741519142</v>
      </c>
      <c r="S13" s="164">
        <f>IF(S$2&lt;'Notes and Assumptions'!$D$45,0,Portfolio!R12)</f>
        <v>67440.79371999708</v>
      </c>
      <c r="T13" s="164">
        <f>IF(T$2&lt;'Notes and Assumptions'!$D$45,0,Portfolio!S12)</f>
        <v>70492.61803200244</v>
      </c>
      <c r="U13" s="164">
        <f>IF(U$2&lt;'Notes and Assumptions'!$D$45,0,Portfolio!T12)</f>
        <v>82036.57251401056</v>
      </c>
      <c r="V13" s="164">
        <f>IF(V$2&lt;'Notes and Assumptions'!$D$45,0,Portfolio!U12)</f>
        <v>1271015.2027577392</v>
      </c>
      <c r="W13" s="164">
        <f>IF(W$2&lt;'Notes and Assumptions'!$D$45,0,Portfolio!V12)</f>
        <v>89840.3280460452</v>
      </c>
      <c r="X13" s="164">
        <f>IF(X$2&lt;'Notes and Assumptions'!$D$45,0,Portfolio!W12)</f>
        <v>93996.45528248585</v>
      </c>
      <c r="Y13" s="164">
        <f>IF(Y$2&lt;'Notes and Assumptions'!$D$45,0,Portfolio!X12)</f>
        <v>98340.79281226361</v>
      </c>
      <c r="Z13" s="164">
        <f>IF(Z$2&lt;'Notes and Assumptions'!$D$45,0,Portfolio!Y12)</f>
        <v>102881.61266937692</v>
      </c>
      <c r="AA13" s="164">
        <f>IF(AA$2&lt;'Notes and Assumptions'!$D$45,0,Portfolio!Z12)</f>
        <v>107627.53458507109</v>
      </c>
      <c r="AB13" s="164">
        <f>IF(AB$2&lt;'Notes and Assumptions'!$D$45,0,Portfolio!AA12)</f>
        <v>112587.53956961268</v>
      </c>
      <c r="AC13" s="164">
        <f>IF(AC$2&lt;'Notes and Assumptions'!$D$45,0,Portfolio!AB12)</f>
        <v>117770.98395429918</v>
      </c>
      <c r="AD13" s="164">
        <f>IF(AD$2&lt;'Notes and Assumptions'!$D$45,0,Portfolio!AC12)</f>
        <v>123187.61390415333</v>
      </c>
      <c r="AE13" s="164">
        <f>IF(AE$2&lt;'Notes and Assumptions'!$D$45,0,Portfolio!AD12)</f>
        <v>128847.58041155286</v>
      </c>
      <c r="AF13" s="164">
        <f>IF(AF$2&lt;'Notes and Assumptions'!$D$45,0,Portfolio!AE12)</f>
        <v>1588904.4771458956</v>
      </c>
      <c r="AG13" s="164">
        <f>IF(AG$2&lt;'Notes and Assumptions'!$D$45,0,Portfolio!AF12)</f>
        <v>140940.24461332976</v>
      </c>
      <c r="AH13" s="164">
        <f>IF(AH$2&lt;'Notes and Assumptions'!$D$45,0,Portfolio!AG12)</f>
        <v>147395.41030288942</v>
      </c>
      <c r="AI13" s="164">
        <f>IF(AI$2&lt;'Notes and Assumptions'!$D$45,0,Portfolio!AH12)</f>
        <v>154138.88204959658</v>
      </c>
      <c r="AJ13" s="164">
        <f>IF(AJ$2&lt;'Notes and Assumptions'!$D$45,0,Portfolio!AI12)</f>
        <v>161183.0774012661</v>
      </c>
      <c r="AK13" s="164">
        <f>IF(AK$2&lt;'Notes and Assumptions'!$D$45,0,Portfolio!AJ12)</f>
        <v>4328726.909682293</v>
      </c>
      <c r="AL13" s="164">
        <f>IF(AL$2&lt;'Notes and Assumptions'!$D$45,0,Portfolio!AK12)</f>
        <v>176225.85484995248</v>
      </c>
      <c r="AM13" s="164">
        <f>IF(AM$2&lt;'Notes and Assumptions'!$D$45,0,Portfolio!AL12)</f>
        <v>184251.8741863251</v>
      </c>
      <c r="AN13" s="164">
        <f>IF(AN$2&lt;'Notes and Assumptions'!$D$45,0,Portfolio!AM12)</f>
        <v>192633.53049497196</v>
      </c>
      <c r="AO13" s="164">
        <f>IF(AO$2&lt;'Notes and Assumptions'!$D$45,0,Portfolio!AN12)</f>
        <v>201385.9601432743</v>
      </c>
      <c r="AP13" s="164">
        <f>IF(AP$2&lt;'Notes and Assumptions'!$D$45,0,Portfolio!AO12)</f>
        <v>210524.903552036</v>
      </c>
      <c r="AQ13" s="164">
        <f>IF(AQ$2&lt;'Notes and Assumptions'!$D$45,0,Portfolio!AP12)</f>
        <v>220066.72660182838</v>
      </c>
      <c r="AR13" s="164">
        <f>IF(AR$2&lt;'Notes and Assumptions'!$D$45,0,Portfolio!AQ12)</f>
        <v>230028.44260443613</v>
      </c>
      <c r="AS13" s="164">
        <f>IF(AS$2&lt;'Notes and Assumptions'!$D$45,0,Portfolio!AR12)</f>
        <v>240427.73483871095</v>
      </c>
      <c r="AT13" s="164">
        <f>IF(AT$2&lt;'Notes and Assumptions'!$D$45,0,Portfolio!AS12)</f>
        <v>251282.9796484447</v>
      </c>
      <c r="AU13" s="164">
        <f>IF(AU$2&lt;'Notes and Assumptions'!$D$45,0,Portfolio!AT12)</f>
        <v>12650484.01915527</v>
      </c>
      <c r="AV13" s="164">
        <f>IF(AV$2&lt;'Notes and Assumptions'!$D$45,0,Portfolio!AU12)</f>
        <v>0</v>
      </c>
      <c r="AW13" s="164">
        <f>IF(AW$2&lt;'Notes and Assumptions'!$D$45,0,Portfolio!AV12)</f>
        <v>0</v>
      </c>
      <c r="AX13" s="164">
        <f>IF(AX$2&lt;'Notes and Assumptions'!$D$45,0,Portfolio!AW12)</f>
        <v>0</v>
      </c>
      <c r="AY13" s="164">
        <f>IF(AY$2&lt;'Notes and Assumptions'!$D$45,0,Portfolio!AX12)</f>
        <v>0</v>
      </c>
      <c r="AZ13" s="164">
        <f>IF(AZ$2&lt;'Notes and Assumptions'!$D$45,0,Portfolio!AY12)</f>
        <v>0</v>
      </c>
      <c r="BA13" s="164">
        <f>IF(BA$2&lt;'Notes and Assumptions'!$D$45,0,Portfolio!AZ12)</f>
        <v>0</v>
      </c>
      <c r="BB13" s="164">
        <f>IF(BB$2&lt;'Notes and Assumptions'!$D$45,0,Portfolio!BA12)</f>
        <v>0</v>
      </c>
    </row>
    <row r="14" spans="1:250" s="171" customFormat="1" ht="12">
      <c r="A14" s="259" t="s">
        <v>395</v>
      </c>
      <c r="B14" s="96" t="s">
        <v>57</v>
      </c>
      <c r="C14" s="260">
        <f>SUM(C3:C13)</f>
        <v>234958180.48548195</v>
      </c>
      <c r="D14" s="258">
        <f aca="true" t="shared" si="3" ref="D14:BI14">SUM(D3:D13)</f>
        <v>-547964.25225</v>
      </c>
      <c r="E14" s="258">
        <f t="shared" si="3"/>
        <v>-93746.55959075002</v>
      </c>
      <c r="F14" s="258">
        <f t="shared" si="3"/>
        <v>-110168.90587281276</v>
      </c>
      <c r="G14" s="258">
        <f t="shared" si="3"/>
        <v>-127518.75057775309</v>
      </c>
      <c r="H14" s="258">
        <f t="shared" si="3"/>
        <v>-65801.13439612035</v>
      </c>
      <c r="I14" s="258">
        <f t="shared" si="3"/>
        <v>-1283.6069809289183</v>
      </c>
      <c r="J14" s="258">
        <f t="shared" si="3"/>
        <v>66157.18673906813</v>
      </c>
      <c r="K14" s="258">
        <f t="shared" si="3"/>
        <v>136649.80477107054</v>
      </c>
      <c r="L14" s="258">
        <f t="shared" si="3"/>
        <v>218686.37728508114</v>
      </c>
      <c r="M14" s="258">
        <f t="shared" si="3"/>
        <v>1489701.5800428204</v>
      </c>
      <c r="N14" s="258">
        <f t="shared" si="3"/>
        <v>1651856.1603388658</v>
      </c>
      <c r="O14" s="258">
        <f t="shared" si="3"/>
        <v>1767284.9229621016</v>
      </c>
      <c r="P14" s="258">
        <f t="shared" si="3"/>
        <v>1882048.062056428</v>
      </c>
      <c r="Q14" s="258">
        <f t="shared" si="3"/>
        <v>2002279.5194307452</v>
      </c>
      <c r="R14" s="258">
        <f t="shared" si="3"/>
        <v>2048189.4378341835</v>
      </c>
      <c r="S14" s="258">
        <f t="shared" si="3"/>
        <v>2096259.4499886045</v>
      </c>
      <c r="T14" s="258">
        <f t="shared" si="3"/>
        <v>2146589.6402229066</v>
      </c>
      <c r="U14" s="258">
        <f t="shared" si="3"/>
        <v>2199284.6360950577</v>
      </c>
      <c r="V14" s="258">
        <f t="shared" si="3"/>
        <v>2246095.6439926</v>
      </c>
      <c r="W14" s="258">
        <f t="shared" si="3"/>
        <v>2563984.918380757</v>
      </c>
      <c r="X14" s="258">
        <f t="shared" si="3"/>
        <v>2615084.834948041</v>
      </c>
      <c r="Y14" s="258">
        <f t="shared" si="3"/>
        <v>2668483.789968445</v>
      </c>
      <c r="Z14" s="258">
        <f t="shared" si="3"/>
        <v>2724281.879205778</v>
      </c>
      <c r="AA14" s="258">
        <f t="shared" si="3"/>
        <v>2782583.343937667</v>
      </c>
      <c r="AB14" s="258">
        <f t="shared" si="3"/>
        <v>7003682.719034889</v>
      </c>
      <c r="AC14" s="258">
        <f t="shared" si="3"/>
        <v>7067321.034315228</v>
      </c>
      <c r="AD14" s="258">
        <f t="shared" si="3"/>
        <v>7133801.924547254</v>
      </c>
      <c r="AE14" s="258">
        <f t="shared" si="3"/>
        <v>7203247.841138073</v>
      </c>
      <c r="AF14" s="258">
        <f t="shared" si="3"/>
        <v>7275786.220869795</v>
      </c>
      <c r="AG14" s="258">
        <f t="shared" si="3"/>
        <v>5897406.647275936</v>
      </c>
      <c r="AH14" s="258">
        <f t="shared" si="3"/>
        <v>5976533.129264435</v>
      </c>
      <c r="AI14" s="258">
        <f t="shared" si="3"/>
        <v>6059166.161565981</v>
      </c>
      <c r="AJ14" s="258">
        <f t="shared" si="3"/>
        <v>6145455.014355095</v>
      </c>
      <c r="AK14" s="258">
        <f t="shared" si="3"/>
        <v>6235554.9166022735</v>
      </c>
      <c r="AL14" s="258">
        <f t="shared" si="3"/>
        <v>14557312.02607525</v>
      </c>
      <c r="AM14" s="258">
        <f t="shared" si="3"/>
        <v>14381086.171225296</v>
      </c>
      <c r="AN14" s="258">
        <f t="shared" si="3"/>
        <v>14196834.29703897</v>
      </c>
      <c r="AO14" s="258">
        <f t="shared" si="3"/>
        <v>14004200.766544</v>
      </c>
      <c r="AP14" s="258">
        <f t="shared" si="3"/>
        <v>13802814.806400726</v>
      </c>
      <c r="AQ14" s="258">
        <f t="shared" si="3"/>
        <v>13592289.902848689</v>
      </c>
      <c r="AR14" s="258">
        <f t="shared" si="3"/>
        <v>13372223.176246861</v>
      </c>
      <c r="AS14" s="258">
        <f t="shared" si="3"/>
        <v>13142194.733642425</v>
      </c>
      <c r="AT14" s="258">
        <f t="shared" si="3"/>
        <v>12901766.998803714</v>
      </c>
      <c r="AU14" s="258">
        <f t="shared" si="3"/>
        <v>12650484.01915527</v>
      </c>
      <c r="AV14" s="171">
        <f t="shared" si="3"/>
        <v>0</v>
      </c>
      <c r="AW14" s="171">
        <f t="shared" si="3"/>
        <v>0</v>
      </c>
      <c r="AX14" s="171">
        <f t="shared" si="3"/>
        <v>0</v>
      </c>
      <c r="AY14" s="171">
        <f t="shared" si="3"/>
        <v>0</v>
      </c>
      <c r="AZ14" s="171">
        <f t="shared" si="3"/>
        <v>0</v>
      </c>
      <c r="BA14" s="171">
        <f t="shared" si="3"/>
        <v>0</v>
      </c>
      <c r="BB14" s="171">
        <f t="shared" si="3"/>
        <v>0</v>
      </c>
      <c r="BC14" s="171">
        <f t="shared" si="3"/>
        <v>0</v>
      </c>
      <c r="BD14" s="171">
        <f t="shared" si="3"/>
        <v>0</v>
      </c>
      <c r="BE14" s="171">
        <f t="shared" si="3"/>
        <v>0</v>
      </c>
      <c r="BF14" s="171">
        <f t="shared" si="3"/>
        <v>0</v>
      </c>
      <c r="BG14" s="171">
        <f t="shared" si="3"/>
        <v>0</v>
      </c>
      <c r="BH14" s="171">
        <f t="shared" si="3"/>
        <v>0</v>
      </c>
      <c r="BI14" s="171">
        <f t="shared" si="3"/>
        <v>0</v>
      </c>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172"/>
      <c r="GB14" s="172"/>
      <c r="GC14" s="172"/>
      <c r="GD14" s="172"/>
      <c r="GE14" s="172"/>
      <c r="GF14" s="172"/>
      <c r="GG14" s="172"/>
      <c r="GH14" s="172"/>
      <c r="GI14" s="172"/>
      <c r="GJ14" s="172"/>
      <c r="GK14" s="172"/>
      <c r="GL14" s="172"/>
      <c r="GM14" s="172"/>
      <c r="GN14" s="172"/>
      <c r="GO14" s="172"/>
      <c r="GP14" s="172"/>
      <c r="GQ14" s="172"/>
      <c r="GR14" s="172"/>
      <c r="GS14" s="172"/>
      <c r="GT14" s="172"/>
      <c r="GU14" s="172"/>
      <c r="GV14" s="172"/>
      <c r="GW14" s="172"/>
      <c r="GX14" s="172"/>
      <c r="GY14" s="172"/>
      <c r="GZ14" s="172"/>
      <c r="HA14" s="172"/>
      <c r="HB14" s="172"/>
      <c r="HC14" s="172"/>
      <c r="HD14" s="172"/>
      <c r="HE14" s="172"/>
      <c r="HF14" s="172"/>
      <c r="HG14" s="172"/>
      <c r="HH14" s="172"/>
      <c r="HI14" s="172"/>
      <c r="HJ14" s="172"/>
      <c r="HK14" s="172"/>
      <c r="HL14" s="172"/>
      <c r="HM14" s="172"/>
      <c r="HN14" s="172"/>
      <c r="HO14" s="172"/>
      <c r="HP14" s="172"/>
      <c r="HQ14" s="172"/>
      <c r="HR14" s="172"/>
      <c r="HS14" s="172"/>
      <c r="HT14" s="172"/>
      <c r="HU14" s="172"/>
      <c r="HV14" s="172"/>
      <c r="HW14" s="172"/>
      <c r="HX14" s="172"/>
      <c r="HY14" s="172"/>
      <c r="HZ14" s="172"/>
      <c r="IA14" s="172"/>
      <c r="IB14" s="172"/>
      <c r="IC14" s="172"/>
      <c r="ID14" s="172"/>
      <c r="IE14" s="172"/>
      <c r="IF14" s="172"/>
      <c r="IG14" s="172"/>
      <c r="IH14" s="172"/>
      <c r="II14" s="172"/>
      <c r="IJ14" s="172"/>
      <c r="IK14" s="172"/>
      <c r="IL14" s="172"/>
      <c r="IM14" s="172"/>
      <c r="IN14" s="172"/>
      <c r="IO14" s="172"/>
      <c r="IP14" s="172"/>
    </row>
    <row r="16" spans="1:61" ht="12.75">
      <c r="A16" s="94" t="s">
        <v>303</v>
      </c>
      <c r="B16" s="86" t="s">
        <v>57</v>
      </c>
      <c r="C16" s="257">
        <f>SUM(D16:GY16)</f>
        <v>-6861628.144412098</v>
      </c>
      <c r="E16" s="164">
        <f>IF(D17&lt;0,D17,0)</f>
        <v>-547964.25225</v>
      </c>
      <c r="F16" s="164">
        <f aca="true" t="shared" si="4" ref="F16:BI16">IF(E17&lt;0,E17,0)</f>
        <v>-641710.81184075</v>
      </c>
      <c r="G16" s="164">
        <f t="shared" si="4"/>
        <v>-751879.7177135628</v>
      </c>
      <c r="H16" s="164">
        <f t="shared" si="4"/>
        <v>-879398.4682913158</v>
      </c>
      <c r="I16" s="164">
        <f t="shared" si="4"/>
        <v>-945199.6026874362</v>
      </c>
      <c r="J16" s="164">
        <f t="shared" si="4"/>
        <v>-946483.2096683651</v>
      </c>
      <c r="K16" s="164">
        <f t="shared" si="4"/>
        <v>-880326.022929297</v>
      </c>
      <c r="L16" s="164">
        <f t="shared" si="4"/>
        <v>-743676.2181582265</v>
      </c>
      <c r="M16" s="164">
        <f t="shared" si="4"/>
        <v>-524989.8408731453</v>
      </c>
      <c r="N16" s="164">
        <f t="shared" si="4"/>
        <v>0</v>
      </c>
      <c r="O16" s="164">
        <f t="shared" si="4"/>
        <v>0</v>
      </c>
      <c r="P16" s="164">
        <f t="shared" si="4"/>
        <v>0</v>
      </c>
      <c r="Q16" s="164">
        <f t="shared" si="4"/>
        <v>0</v>
      </c>
      <c r="R16" s="164">
        <f t="shared" si="4"/>
        <v>0</v>
      </c>
      <c r="S16" s="164">
        <f t="shared" si="4"/>
        <v>0</v>
      </c>
      <c r="T16" s="164">
        <f t="shared" si="4"/>
        <v>0</v>
      </c>
      <c r="U16" s="164">
        <f t="shared" si="4"/>
        <v>0</v>
      </c>
      <c r="V16" s="164">
        <f t="shared" si="4"/>
        <v>0</v>
      </c>
      <c r="W16" s="164">
        <f t="shared" si="4"/>
        <v>0</v>
      </c>
      <c r="X16" s="164">
        <f t="shared" si="4"/>
        <v>0</v>
      </c>
      <c r="Y16" s="164">
        <f t="shared" si="4"/>
        <v>0</v>
      </c>
      <c r="Z16" s="164">
        <f t="shared" si="4"/>
        <v>0</v>
      </c>
      <c r="AA16" s="164">
        <f t="shared" si="4"/>
        <v>0</v>
      </c>
      <c r="AB16" s="164">
        <f t="shared" si="4"/>
        <v>0</v>
      </c>
      <c r="AC16" s="164">
        <f t="shared" si="4"/>
        <v>0</v>
      </c>
      <c r="AD16" s="164">
        <f t="shared" si="4"/>
        <v>0</v>
      </c>
      <c r="AE16" s="164">
        <f t="shared" si="4"/>
        <v>0</v>
      </c>
      <c r="AF16" s="164">
        <f t="shared" si="4"/>
        <v>0</v>
      </c>
      <c r="AG16" s="164">
        <f t="shared" si="4"/>
        <v>0</v>
      </c>
      <c r="AH16" s="164">
        <f t="shared" si="4"/>
        <v>0</v>
      </c>
      <c r="AI16" s="164">
        <f t="shared" si="4"/>
        <v>0</v>
      </c>
      <c r="AJ16" s="164">
        <f t="shared" si="4"/>
        <v>0</v>
      </c>
      <c r="AK16" s="164">
        <f t="shared" si="4"/>
        <v>0</v>
      </c>
      <c r="AL16" s="164">
        <f t="shared" si="4"/>
        <v>0</v>
      </c>
      <c r="AM16" s="164">
        <f t="shared" si="4"/>
        <v>0</v>
      </c>
      <c r="AN16" s="164">
        <f t="shared" si="4"/>
        <v>0</v>
      </c>
      <c r="AO16" s="164">
        <f t="shared" si="4"/>
        <v>0</v>
      </c>
      <c r="AP16" s="164">
        <f t="shared" si="4"/>
        <v>0</v>
      </c>
      <c r="AQ16" s="164">
        <f t="shared" si="4"/>
        <v>0</v>
      </c>
      <c r="AR16" s="164">
        <f t="shared" si="4"/>
        <v>0</v>
      </c>
      <c r="AS16" s="164">
        <f t="shared" si="4"/>
        <v>0</v>
      </c>
      <c r="AT16" s="164">
        <f t="shared" si="4"/>
        <v>0</v>
      </c>
      <c r="AU16" s="164">
        <f t="shared" si="4"/>
        <v>0</v>
      </c>
      <c r="AV16" s="164">
        <f t="shared" si="4"/>
        <v>0</v>
      </c>
      <c r="AW16" s="164">
        <f t="shared" si="4"/>
        <v>0</v>
      </c>
      <c r="AX16" s="164">
        <f t="shared" si="4"/>
        <v>0</v>
      </c>
      <c r="AY16" s="164">
        <f t="shared" si="4"/>
        <v>0</v>
      </c>
      <c r="AZ16" s="164">
        <f t="shared" si="4"/>
        <v>0</v>
      </c>
      <c r="BA16" s="164">
        <f t="shared" si="4"/>
        <v>0</v>
      </c>
      <c r="BB16" s="164">
        <f t="shared" si="4"/>
        <v>0</v>
      </c>
      <c r="BC16" s="164">
        <f t="shared" si="4"/>
        <v>0</v>
      </c>
      <c r="BD16" s="164">
        <f t="shared" si="4"/>
        <v>0</v>
      </c>
      <c r="BE16" s="164">
        <f t="shared" si="4"/>
        <v>0</v>
      </c>
      <c r="BF16" s="164">
        <f t="shared" si="4"/>
        <v>0</v>
      </c>
      <c r="BG16" s="164">
        <f t="shared" si="4"/>
        <v>0</v>
      </c>
      <c r="BH16" s="164">
        <f t="shared" si="4"/>
        <v>0</v>
      </c>
      <c r="BI16" s="164">
        <f t="shared" si="4"/>
        <v>0</v>
      </c>
    </row>
    <row r="17" spans="1:73" ht="12.75">
      <c r="A17" s="94" t="s">
        <v>108</v>
      </c>
      <c r="B17" s="86" t="s">
        <v>57</v>
      </c>
      <c r="C17" s="257">
        <f>SUM(D17:GY17)</f>
        <v>228096552.34106988</v>
      </c>
      <c r="D17" s="164">
        <f>D14+D16</f>
        <v>-547964.25225</v>
      </c>
      <c r="E17" s="164">
        <f aca="true" t="shared" si="5" ref="E17:BI17">E14+E16</f>
        <v>-641710.81184075</v>
      </c>
      <c r="F17" s="164">
        <f t="shared" si="5"/>
        <v>-751879.7177135628</v>
      </c>
      <c r="G17" s="164">
        <f t="shared" si="5"/>
        <v>-879398.4682913158</v>
      </c>
      <c r="H17" s="164">
        <f t="shared" si="5"/>
        <v>-945199.6026874362</v>
      </c>
      <c r="I17" s="164">
        <f t="shared" si="5"/>
        <v>-946483.2096683651</v>
      </c>
      <c r="J17" s="164">
        <f t="shared" si="5"/>
        <v>-880326.022929297</v>
      </c>
      <c r="K17" s="164">
        <f t="shared" si="5"/>
        <v>-743676.2181582265</v>
      </c>
      <c r="L17" s="164">
        <f t="shared" si="5"/>
        <v>-524989.8408731453</v>
      </c>
      <c r="M17" s="164">
        <f t="shared" si="5"/>
        <v>964711.7391696752</v>
      </c>
      <c r="N17" s="164">
        <f t="shared" si="5"/>
        <v>1651856.1603388658</v>
      </c>
      <c r="O17" s="164">
        <f t="shared" si="5"/>
        <v>1767284.9229621016</v>
      </c>
      <c r="P17" s="164">
        <f t="shared" si="5"/>
        <v>1882048.062056428</v>
      </c>
      <c r="Q17" s="164">
        <f t="shared" si="5"/>
        <v>2002279.5194307452</v>
      </c>
      <c r="R17" s="164">
        <f t="shared" si="5"/>
        <v>2048189.4378341835</v>
      </c>
      <c r="S17" s="164">
        <f t="shared" si="5"/>
        <v>2096259.4499886045</v>
      </c>
      <c r="T17" s="164">
        <f t="shared" si="5"/>
        <v>2146589.6402229066</v>
      </c>
      <c r="U17" s="164">
        <f t="shared" si="5"/>
        <v>2199284.6360950577</v>
      </c>
      <c r="V17" s="164">
        <f t="shared" si="5"/>
        <v>2246095.6439926</v>
      </c>
      <c r="W17" s="164">
        <f t="shared" si="5"/>
        <v>2563984.918380757</v>
      </c>
      <c r="X17" s="164">
        <f t="shared" si="5"/>
        <v>2615084.834948041</v>
      </c>
      <c r="Y17" s="164">
        <f t="shared" si="5"/>
        <v>2668483.789968445</v>
      </c>
      <c r="Z17" s="164">
        <f t="shared" si="5"/>
        <v>2724281.879205778</v>
      </c>
      <c r="AA17" s="164">
        <f t="shared" si="5"/>
        <v>2782583.343937667</v>
      </c>
      <c r="AB17" s="164">
        <f t="shared" si="5"/>
        <v>7003682.719034889</v>
      </c>
      <c r="AC17" s="164">
        <f t="shared" si="5"/>
        <v>7067321.034315228</v>
      </c>
      <c r="AD17" s="164">
        <f t="shared" si="5"/>
        <v>7133801.924547254</v>
      </c>
      <c r="AE17" s="164">
        <f t="shared" si="5"/>
        <v>7203247.841138073</v>
      </c>
      <c r="AF17" s="164">
        <f t="shared" si="5"/>
        <v>7275786.220869795</v>
      </c>
      <c r="AG17" s="164">
        <f t="shared" si="5"/>
        <v>5897406.647275936</v>
      </c>
      <c r="AH17" s="164">
        <f t="shared" si="5"/>
        <v>5976533.129264435</v>
      </c>
      <c r="AI17" s="164">
        <f t="shared" si="5"/>
        <v>6059166.161565981</v>
      </c>
      <c r="AJ17" s="164">
        <f t="shared" si="5"/>
        <v>6145455.014355095</v>
      </c>
      <c r="AK17" s="164">
        <f t="shared" si="5"/>
        <v>6235554.9166022735</v>
      </c>
      <c r="AL17" s="164">
        <f t="shared" si="5"/>
        <v>14557312.02607525</v>
      </c>
      <c r="AM17" s="164">
        <f t="shared" si="5"/>
        <v>14381086.171225296</v>
      </c>
      <c r="AN17" s="164">
        <f t="shared" si="5"/>
        <v>14196834.29703897</v>
      </c>
      <c r="AO17" s="164">
        <f t="shared" si="5"/>
        <v>14004200.766544</v>
      </c>
      <c r="AP17" s="164">
        <f t="shared" si="5"/>
        <v>13802814.806400726</v>
      </c>
      <c r="AQ17" s="164">
        <f t="shared" si="5"/>
        <v>13592289.902848689</v>
      </c>
      <c r="AR17" s="164">
        <f t="shared" si="5"/>
        <v>13372223.176246861</v>
      </c>
      <c r="AS17" s="164">
        <f t="shared" si="5"/>
        <v>13142194.733642425</v>
      </c>
      <c r="AT17" s="164">
        <f t="shared" si="5"/>
        <v>12901766.998803714</v>
      </c>
      <c r="AU17" s="164">
        <f t="shared" si="5"/>
        <v>12650484.01915527</v>
      </c>
      <c r="AV17" s="164">
        <f t="shared" si="5"/>
        <v>0</v>
      </c>
      <c r="AW17" s="164">
        <f t="shared" si="5"/>
        <v>0</v>
      </c>
      <c r="AX17" s="164">
        <f t="shared" si="5"/>
        <v>0</v>
      </c>
      <c r="AY17" s="164">
        <f t="shared" si="5"/>
        <v>0</v>
      </c>
      <c r="AZ17" s="164">
        <f t="shared" si="5"/>
        <v>0</v>
      </c>
      <c r="BA17" s="164">
        <f t="shared" si="5"/>
        <v>0</v>
      </c>
      <c r="BB17" s="164">
        <f t="shared" si="5"/>
        <v>0</v>
      </c>
      <c r="BC17" s="164">
        <f t="shared" si="5"/>
        <v>0</v>
      </c>
      <c r="BD17" s="164">
        <f t="shared" si="5"/>
        <v>0</v>
      </c>
      <c r="BE17" s="164">
        <f t="shared" si="5"/>
        <v>0</v>
      </c>
      <c r="BF17" s="164">
        <f t="shared" si="5"/>
        <v>0</v>
      </c>
      <c r="BG17" s="164">
        <f t="shared" si="5"/>
        <v>0</v>
      </c>
      <c r="BH17" s="164">
        <f t="shared" si="5"/>
        <v>0</v>
      </c>
      <c r="BI17" s="164">
        <f t="shared" si="5"/>
        <v>0</v>
      </c>
      <c r="BJ17" s="262"/>
      <c r="BK17" s="262"/>
      <c r="BL17" s="262"/>
      <c r="BM17" s="262"/>
      <c r="BN17" s="262"/>
      <c r="BO17" s="262"/>
      <c r="BP17" s="262"/>
      <c r="BQ17" s="262"/>
      <c r="BR17" s="262"/>
      <c r="BS17" s="262"/>
      <c r="BT17" s="262"/>
      <c r="BU17" s="262"/>
    </row>
    <row r="18" spans="1:61" ht="12.75">
      <c r="A18" s="101" t="s">
        <v>109</v>
      </c>
      <c r="B18" s="86" t="s">
        <v>57</v>
      </c>
      <c r="C18" s="257">
        <f>SUM(D18:GY18)</f>
        <v>-46991636.097096406</v>
      </c>
      <c r="D18" s="167">
        <f>IF(D17&lt;0,0,D17*'Input and Output'!$C$152*-1)</f>
        <v>0</v>
      </c>
      <c r="E18" s="167">
        <f>IF(E17&lt;0,0,E17*'Input and Output'!$C$152*-1)</f>
        <v>0</v>
      </c>
      <c r="F18" s="167">
        <f>IF(F17&lt;0,0,F17*'Input and Output'!$C$152*-1)</f>
        <v>0</v>
      </c>
      <c r="G18" s="167">
        <f>IF(G17&lt;0,0,G17*'Input and Output'!$C$152*-1)</f>
        <v>0</v>
      </c>
      <c r="H18" s="167">
        <f>IF(H17&lt;0,0,H17*'Input and Output'!$C$152*-1)</f>
        <v>0</v>
      </c>
      <c r="I18" s="167">
        <f>IF(I17&lt;0,0,I17*'Input and Output'!$C$152*-1)</f>
        <v>0</v>
      </c>
      <c r="J18" s="167">
        <f>IF(J17&lt;0,0,J17*'Input and Output'!$C$152*-1)</f>
        <v>0</v>
      </c>
      <c r="K18" s="167">
        <f>IF(K17&lt;0,0,K17*'Input and Output'!$C$152*-1)</f>
        <v>0</v>
      </c>
      <c r="L18" s="167">
        <f>IF(L17&lt;0,0,L17*'Input and Output'!$C$152*-1)</f>
        <v>0</v>
      </c>
      <c r="M18" s="167">
        <f>IF(M17&lt;0,0,M17*'Input and Output'!$C$152*-1)</f>
        <v>-192942.34783393505</v>
      </c>
      <c r="N18" s="167">
        <f>IF(N17&lt;0,0,N17*'Input and Output'!$C$152*-1)</f>
        <v>-330371.2320677732</v>
      </c>
      <c r="O18" s="167">
        <f>IF(O17&lt;0,0,O17*'Input and Output'!$C$152*-1)</f>
        <v>-353456.98459242034</v>
      </c>
      <c r="P18" s="167">
        <f>IF(P17&lt;0,0,P17*'Input and Output'!$C$152*-1)</f>
        <v>-376409.61241128563</v>
      </c>
      <c r="Q18" s="167">
        <f>IF(Q17&lt;0,0,Q17*'Input and Output'!$C$152*-1)</f>
        <v>-400455.90388614906</v>
      </c>
      <c r="R18" s="167">
        <f>IF(R17&lt;0,0,R17*'Input and Output'!$C$152*-1)</f>
        <v>-409637.8875668367</v>
      </c>
      <c r="S18" s="167">
        <f>IF(S17&lt;0,0,S17*'Input and Output'!$C$152*-1)</f>
        <v>-419251.88999772095</v>
      </c>
      <c r="T18" s="167">
        <f>IF(T17&lt;0,0,T17*'Input and Output'!$C$152*-1)</f>
        <v>-429317.9280445813</v>
      </c>
      <c r="U18" s="167">
        <f>IF(U17&lt;0,0,U17*'Input and Output'!$C$152*-1)</f>
        <v>-439856.9272190116</v>
      </c>
      <c r="V18" s="167">
        <f>IF(V17&lt;0,0,V17*'Input and Output'!$C$152*-1)</f>
        <v>-449219.12879852</v>
      </c>
      <c r="W18" s="167">
        <f>IF(W17&lt;0,0,W17*'Input and Output'!$C$152*-1)</f>
        <v>-512796.9836761514</v>
      </c>
      <c r="X18" s="167">
        <f>IF(X17&lt;0,0,X17*'Input and Output'!$C$152*-1)</f>
        <v>-523016.96698960825</v>
      </c>
      <c r="Y18" s="167">
        <f>IF(Y17&lt;0,0,Y17*'Input and Output'!$C$152*-1)</f>
        <v>-533696.757993689</v>
      </c>
      <c r="Z18" s="167">
        <f>IF(Z17&lt;0,0,Z17*'Input and Output'!$C$152*-1)</f>
        <v>-544856.3758411555</v>
      </c>
      <c r="AA18" s="167">
        <f>IF(AA17&lt;0,0,AA17*'Input and Output'!$C$152*-1)</f>
        <v>-556516.6687875334</v>
      </c>
      <c r="AB18" s="167">
        <f>IF(AB17&lt;0,0,AB17*'Input and Output'!$C$152*-1)</f>
        <v>-1400736.5438069778</v>
      </c>
      <c r="AC18" s="167">
        <f>IF(AC17&lt;0,0,AC17*'Input and Output'!$C$152*-1)</f>
        <v>-1413464.2068630457</v>
      </c>
      <c r="AD18" s="167">
        <f>IF(AD17&lt;0,0,AD17*'Input and Output'!$C$152*-1)</f>
        <v>-1426760.384909451</v>
      </c>
      <c r="AE18" s="167">
        <f>IF(AE17&lt;0,0,AE17*'Input and Output'!$C$152*-1)</f>
        <v>-1440649.5682276147</v>
      </c>
      <c r="AF18" s="167">
        <f>IF(AF17&lt;0,0,AF17*'Input and Output'!$C$152*-1)</f>
        <v>-1455157.2441739591</v>
      </c>
      <c r="AG18" s="167">
        <f>IF(AG17&lt;0,0,AG17*'Input and Output'!$C$152*-1)</f>
        <v>-1179481.3294551873</v>
      </c>
      <c r="AH18" s="167">
        <f>IF(AH17&lt;0,0,AH17*'Input and Output'!$C$152*-1)</f>
        <v>-1195306.625852887</v>
      </c>
      <c r="AI18" s="167">
        <f>IF(AI17&lt;0,0,AI17*'Input and Output'!$C$152*-1)</f>
        <v>-1211833.2323131962</v>
      </c>
      <c r="AJ18" s="167">
        <f>IF(AJ17&lt;0,0,AJ17*'Input and Output'!$C$152*-1)</f>
        <v>-1229091.002871019</v>
      </c>
      <c r="AK18" s="167">
        <f>IF(AK17&lt;0,0,AK17*'Input and Output'!$C$152*-1)</f>
        <v>-1247110.9833204548</v>
      </c>
      <c r="AL18" s="167">
        <f>IF(AL17&lt;0,0,AL17*'Input and Output'!$C$152*-1)</f>
        <v>-2911462.40521505</v>
      </c>
      <c r="AM18" s="167">
        <f>IF(AM17&lt;0,0,AM17*'Input and Output'!$C$152*-1)</f>
        <v>-2876217.2342450595</v>
      </c>
      <c r="AN18" s="167">
        <f>IF(AN17&lt;0,0,AN17*'Input and Output'!$C$152*-1)</f>
        <v>-2839366.859407794</v>
      </c>
      <c r="AO18" s="167">
        <f>IF(AO17&lt;0,0,AO17*'Input and Output'!$C$152*-1)</f>
        <v>-2800840.1533088</v>
      </c>
      <c r="AP18" s="167">
        <f>IF(AP17&lt;0,0,AP17*'Input and Output'!$C$152*-1)</f>
        <v>-2760562.961280145</v>
      </c>
      <c r="AQ18" s="167">
        <f>IF(AQ17&lt;0,0,AQ17*'Input and Output'!$C$152*-1)</f>
        <v>-2718457.980569738</v>
      </c>
      <c r="AR18" s="167">
        <f>IF(AR17&lt;0,0,AR17*'Input and Output'!$C$152*-1)</f>
        <v>-2674444.6352493726</v>
      </c>
      <c r="AS18" s="167">
        <f>IF(AS17&lt;0,0,AS17*'Input and Output'!$C$152*-1)</f>
        <v>-2628438.946728485</v>
      </c>
      <c r="AT18" s="167">
        <f>IF(AT17&lt;0,0,AT17*'Input and Output'!$C$152*-1)</f>
        <v>-2580353.399760743</v>
      </c>
      <c r="AU18" s="167">
        <f>IF(AU17&lt;0,0,AU17*'Input and Output'!$C$152*-1)</f>
        <v>-2530096.803831054</v>
      </c>
      <c r="AV18" s="167">
        <f>IF(AV17&lt;0,0,AV17*'Input and Output'!$C$152*-1)</f>
        <v>0</v>
      </c>
      <c r="AW18" s="167">
        <f>IF(AW17&lt;0,0,AW17*'Input and Output'!$C$152*-1)</f>
        <v>0</v>
      </c>
      <c r="AX18" s="167">
        <f>IF(AX17&lt;0,0,AX17*'Input and Output'!$C$152*-1)</f>
        <v>0</v>
      </c>
      <c r="AY18" s="167">
        <f>IF(AY17&lt;0,0,AY17*'Input and Output'!$C$152*-1)</f>
        <v>0</v>
      </c>
      <c r="AZ18" s="167">
        <f>IF(AZ17&lt;0,0,AZ17*'Input and Output'!$C$152*-1)</f>
        <v>0</v>
      </c>
      <c r="BA18" s="167">
        <f>IF(BA17&lt;0,0,BA17*'Input and Output'!$C$152*-1)</f>
        <v>0</v>
      </c>
      <c r="BB18" s="167">
        <f>IF(BB17&lt;0,0,BB17*'Input and Output'!$C$152*-1)</f>
        <v>0</v>
      </c>
      <c r="BC18" s="167">
        <f>IF(BC17&lt;0,0,BC17*'Input and Output'!$C$152*-1)</f>
        <v>0</v>
      </c>
      <c r="BD18" s="167">
        <f>IF(BD17&lt;0,0,BD17*'Input and Output'!$C$152*-1)</f>
        <v>0</v>
      </c>
      <c r="BE18" s="167">
        <f>IF(BE17&lt;0,0,BE17*'Input and Output'!$C$152*-1)</f>
        <v>0</v>
      </c>
      <c r="BF18" s="167">
        <f>IF(BF17&lt;0,0,BF17*'Input and Output'!$C$152*-1)</f>
        <v>0</v>
      </c>
      <c r="BG18" s="167">
        <f>IF(BG17&lt;0,0,BG17*'Input and Output'!$C$152*-1)</f>
        <v>0</v>
      </c>
      <c r="BH18" s="167">
        <f>IF(BH17&lt;0,0,BH17*'Input and Output'!$C$152*-1)</f>
        <v>0</v>
      </c>
      <c r="BI18" s="167">
        <f>IF(BI17&lt;0,0,BI17*'Input and Output'!$C$152*-1)</f>
        <v>0</v>
      </c>
    </row>
    <row r="19" ht="12.75">
      <c r="A19" s="94"/>
    </row>
    <row r="20" spans="1:250" s="171" customFormat="1" ht="12">
      <c r="A20" s="259" t="s">
        <v>63</v>
      </c>
      <c r="B20" s="96" t="s">
        <v>57</v>
      </c>
      <c r="C20" s="263">
        <f>SUM(D20:GY20)</f>
        <v>187966544.38838562</v>
      </c>
      <c r="D20" s="258">
        <f>D14+D18</f>
        <v>-547964.25225</v>
      </c>
      <c r="E20" s="258">
        <f aca="true" t="shared" si="6" ref="E20:BI20">E14+E18</f>
        <v>-93746.55959075002</v>
      </c>
      <c r="F20" s="258">
        <f t="shared" si="6"/>
        <v>-110168.90587281276</v>
      </c>
      <c r="G20" s="258">
        <f t="shared" si="6"/>
        <v>-127518.75057775309</v>
      </c>
      <c r="H20" s="258">
        <f t="shared" si="6"/>
        <v>-65801.13439612035</v>
      </c>
      <c r="I20" s="258">
        <f t="shared" si="6"/>
        <v>-1283.6069809289183</v>
      </c>
      <c r="J20" s="258">
        <f t="shared" si="6"/>
        <v>66157.18673906813</v>
      </c>
      <c r="K20" s="258">
        <f t="shared" si="6"/>
        <v>136649.80477107054</v>
      </c>
      <c r="L20" s="258">
        <f t="shared" si="6"/>
        <v>218686.37728508114</v>
      </c>
      <c r="M20" s="258">
        <f t="shared" si="6"/>
        <v>1296759.2322088853</v>
      </c>
      <c r="N20" s="258">
        <f t="shared" si="6"/>
        <v>1321484.9282710927</v>
      </c>
      <c r="O20" s="258">
        <f t="shared" si="6"/>
        <v>1413827.9383696814</v>
      </c>
      <c r="P20" s="258">
        <f t="shared" si="6"/>
        <v>1505638.4496451425</v>
      </c>
      <c r="Q20" s="258">
        <f t="shared" si="6"/>
        <v>1601823.6155445962</v>
      </c>
      <c r="R20" s="258">
        <f t="shared" si="6"/>
        <v>1638551.5502673467</v>
      </c>
      <c r="S20" s="258">
        <f t="shared" si="6"/>
        <v>1677007.5599908836</v>
      </c>
      <c r="T20" s="258">
        <f t="shared" si="6"/>
        <v>1717271.7121783253</v>
      </c>
      <c r="U20" s="258">
        <f t="shared" si="6"/>
        <v>1759427.7088760461</v>
      </c>
      <c r="V20" s="258">
        <f t="shared" si="6"/>
        <v>1796876.51519408</v>
      </c>
      <c r="W20" s="258">
        <f t="shared" si="6"/>
        <v>2051187.9347046055</v>
      </c>
      <c r="X20" s="258">
        <f t="shared" si="6"/>
        <v>2092067.8679584328</v>
      </c>
      <c r="Y20" s="258">
        <f t="shared" si="6"/>
        <v>2134787.031974756</v>
      </c>
      <c r="Z20" s="258">
        <f t="shared" si="6"/>
        <v>2179425.503364622</v>
      </c>
      <c r="AA20" s="258">
        <f t="shared" si="6"/>
        <v>2226066.6751501337</v>
      </c>
      <c r="AB20" s="258">
        <f t="shared" si="6"/>
        <v>5602946.175227911</v>
      </c>
      <c r="AC20" s="258">
        <f t="shared" si="6"/>
        <v>5653856.827452183</v>
      </c>
      <c r="AD20" s="258">
        <f t="shared" si="6"/>
        <v>5707041.539637803</v>
      </c>
      <c r="AE20" s="258">
        <f t="shared" si="6"/>
        <v>5762598.272910459</v>
      </c>
      <c r="AF20" s="258">
        <f t="shared" si="6"/>
        <v>5820628.9766958365</v>
      </c>
      <c r="AG20" s="258">
        <f t="shared" si="6"/>
        <v>4717925.317820748</v>
      </c>
      <c r="AH20" s="258">
        <f t="shared" si="6"/>
        <v>4781226.503411548</v>
      </c>
      <c r="AI20" s="258">
        <f t="shared" si="6"/>
        <v>4847332.929252785</v>
      </c>
      <c r="AJ20" s="258">
        <f t="shared" si="6"/>
        <v>4916364.011484076</v>
      </c>
      <c r="AK20" s="258">
        <f t="shared" si="6"/>
        <v>4988443.933281818</v>
      </c>
      <c r="AL20" s="258">
        <f t="shared" si="6"/>
        <v>11645849.6208602</v>
      </c>
      <c r="AM20" s="258">
        <f t="shared" si="6"/>
        <v>11504868.936980236</v>
      </c>
      <c r="AN20" s="258">
        <f t="shared" si="6"/>
        <v>11357467.437631177</v>
      </c>
      <c r="AO20" s="258">
        <f t="shared" si="6"/>
        <v>11203360.6132352</v>
      </c>
      <c r="AP20" s="258">
        <f t="shared" si="6"/>
        <v>11042251.84512058</v>
      </c>
      <c r="AQ20" s="258">
        <f t="shared" si="6"/>
        <v>10873831.922278952</v>
      </c>
      <c r="AR20" s="258">
        <f t="shared" si="6"/>
        <v>10697778.540997488</v>
      </c>
      <c r="AS20" s="258">
        <f t="shared" si="6"/>
        <v>10513755.78691394</v>
      </c>
      <c r="AT20" s="258">
        <f t="shared" si="6"/>
        <v>10321413.59904297</v>
      </c>
      <c r="AU20" s="258">
        <f t="shared" si="6"/>
        <v>10120387.215324216</v>
      </c>
      <c r="AV20" s="258">
        <f t="shared" si="6"/>
        <v>0</v>
      </c>
      <c r="AW20" s="258">
        <f t="shared" si="6"/>
        <v>0</v>
      </c>
      <c r="AX20" s="258">
        <f t="shared" si="6"/>
        <v>0</v>
      </c>
      <c r="AY20" s="258">
        <f t="shared" si="6"/>
        <v>0</v>
      </c>
      <c r="AZ20" s="258">
        <f t="shared" si="6"/>
        <v>0</v>
      </c>
      <c r="BA20" s="258">
        <f t="shared" si="6"/>
        <v>0</v>
      </c>
      <c r="BB20" s="258">
        <f t="shared" si="6"/>
        <v>0</v>
      </c>
      <c r="BC20" s="258">
        <f t="shared" si="6"/>
        <v>0</v>
      </c>
      <c r="BD20" s="258">
        <f t="shared" si="6"/>
        <v>0</v>
      </c>
      <c r="BE20" s="258">
        <f t="shared" si="6"/>
        <v>0</v>
      </c>
      <c r="BF20" s="258">
        <f t="shared" si="6"/>
        <v>0</v>
      </c>
      <c r="BG20" s="258">
        <f t="shared" si="6"/>
        <v>0</v>
      </c>
      <c r="BH20" s="258">
        <f t="shared" si="6"/>
        <v>0</v>
      </c>
      <c r="BI20" s="258">
        <f t="shared" si="6"/>
        <v>0</v>
      </c>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c r="GK20" s="172"/>
      <c r="GL20" s="172"/>
      <c r="GM20" s="172"/>
      <c r="GN20" s="172"/>
      <c r="GO20" s="172"/>
      <c r="GP20" s="172"/>
      <c r="GQ20" s="172"/>
      <c r="GR20" s="172"/>
      <c r="GS20" s="172"/>
      <c r="GT20" s="172"/>
      <c r="GU20" s="172"/>
      <c r="GV20" s="172"/>
      <c r="GW20" s="172"/>
      <c r="GX20" s="172"/>
      <c r="GY20" s="172"/>
      <c r="GZ20" s="172"/>
      <c r="HA20" s="172"/>
      <c r="HB20" s="172"/>
      <c r="HC20" s="172"/>
      <c r="HD20" s="172"/>
      <c r="HE20" s="172"/>
      <c r="HF20" s="172"/>
      <c r="HG20" s="172"/>
      <c r="HH20" s="172"/>
      <c r="HI20" s="172"/>
      <c r="HJ20" s="172"/>
      <c r="HK20" s="172"/>
      <c r="HL20" s="172"/>
      <c r="HM20" s="172"/>
      <c r="HN20" s="172"/>
      <c r="HO20" s="172"/>
      <c r="HP20" s="172"/>
      <c r="HQ20" s="172"/>
      <c r="HR20" s="172"/>
      <c r="HS20" s="172"/>
      <c r="HT20" s="172"/>
      <c r="HU20" s="172"/>
      <c r="HV20" s="172"/>
      <c r="HW20" s="172"/>
      <c r="HX20" s="172"/>
      <c r="HY20" s="172"/>
      <c r="HZ20" s="172"/>
      <c r="IA20" s="172"/>
      <c r="IB20" s="172"/>
      <c r="IC20" s="172"/>
      <c r="ID20" s="172"/>
      <c r="IE20" s="172"/>
      <c r="IF20" s="172"/>
      <c r="IG20" s="172"/>
      <c r="IH20" s="172"/>
      <c r="II20" s="172"/>
      <c r="IJ20" s="172"/>
      <c r="IK20" s="172"/>
      <c r="IL20" s="172"/>
      <c r="IM20" s="172"/>
      <c r="IN20" s="172"/>
      <c r="IO20" s="172"/>
      <c r="IP20" s="172"/>
    </row>
    <row r="21" spans="1:250" s="171" customFormat="1" ht="12">
      <c r="A21" s="259" t="s">
        <v>68</v>
      </c>
      <c r="B21" s="96" t="s">
        <v>57</v>
      </c>
      <c r="C21" s="263">
        <f>SUM(D21:GY21)</f>
        <v>10710425.464791182</v>
      </c>
      <c r="D21" s="174">
        <f>D20/(1+'Input and Output'!$C$30)^D1</f>
        <v>-498149.3202272727</v>
      </c>
      <c r="E21" s="174">
        <f>E20/(1+'Input and Output'!$C$30)^E1</f>
        <v>-77476.49552954546</v>
      </c>
      <c r="F21" s="174">
        <f>F20/(1+'Input and Output'!$C$30)^F1</f>
        <v>-82771.52958137695</v>
      </c>
      <c r="G21" s="174">
        <f>G20/(1+'Input and Output'!$C$30)^G1</f>
        <v>-87097.02245594772</v>
      </c>
      <c r="H21" s="174">
        <f>H20/(1+'Input and Output'!$C$30)^H1</f>
        <v>-40857.32742803232</v>
      </c>
      <c r="I21" s="174">
        <f>I20/(1+'Input and Output'!$C$30)^I1</f>
        <v>-724.5626771694103</v>
      </c>
      <c r="J21" s="174">
        <f>J20/(1+'Input and Output'!$C$30)^J1</f>
        <v>33949.097454457646</v>
      </c>
      <c r="K21" s="174">
        <f>K20/(1+'Input and Output'!$C$30)^K1</f>
        <v>63748.14242992362</v>
      </c>
      <c r="L21" s="174">
        <f>L20/(1+'Input and Output'!$C$30)^L1</f>
        <v>92744.37177710954</v>
      </c>
      <c r="M21" s="174">
        <f>M20/(1+'Input and Output'!$C$30)^M1</f>
        <v>499956.81998392724</v>
      </c>
      <c r="N21" s="174">
        <f>N20/(1+'Input and Output'!$C$30)^N1</f>
        <v>463172.40561562317</v>
      </c>
      <c r="O21" s="174">
        <f>O20/(1+'Input and Output'!$C$30)^O1</f>
        <v>450489.15210447914</v>
      </c>
      <c r="P21" s="174">
        <f>P20/(1+'Input and Output'!$C$30)^P1</f>
        <v>436129.8276241684</v>
      </c>
      <c r="Q21" s="174">
        <f>Q20/(1+'Input and Output'!$C$30)^Q1</f>
        <v>421810.2218584582</v>
      </c>
      <c r="R21" s="174">
        <f>R20/(1+'Input and Output'!$C$30)^R1</f>
        <v>392256.21361551987</v>
      </c>
      <c r="S21" s="174">
        <f>S20/(1+'Input and Output'!$C$30)^S1</f>
        <v>364965.70599436166</v>
      </c>
      <c r="T21" s="174">
        <f>T20/(1+'Input and Output'!$C$30)^T1</f>
        <v>339753.05330748874</v>
      </c>
      <c r="U21" s="174">
        <f>U20/(1+'Input and Output'!$C$30)^U1</f>
        <v>316448.5386511859</v>
      </c>
      <c r="V21" s="174">
        <f>V20/(1+'Input and Output'!$C$30)^V1</f>
        <v>293803.6687628108</v>
      </c>
      <c r="W21" s="174">
        <f>W20/(1+'Input and Output'!$C$30)^W1</f>
        <v>304896.0163738425</v>
      </c>
      <c r="X21" s="174">
        <f>X20/(1+'Input and Output'!$C$30)^X1</f>
        <v>282702.3254237056</v>
      </c>
      <c r="Y21" s="174">
        <f>Y20/(1+'Input and Output'!$C$30)^Y1</f>
        <v>262249.99131538917</v>
      </c>
      <c r="Z21" s="174">
        <f>Z20/(1+'Input and Output'!$C$30)^Z1</f>
        <v>243394.22526556157</v>
      </c>
      <c r="AA21" s="174">
        <f>AA20/(1+'Input and Output'!$C$30)^AA1</f>
        <v>226002.7503708478</v>
      </c>
      <c r="AB21" s="174">
        <f>AB20/(1+'Input and Output'!$C$30)^AB1</f>
        <v>517129.5099750233</v>
      </c>
      <c r="AC21" s="174">
        <f>AC20/(1+'Input and Output'!$C$30)^AC1</f>
        <v>474389.41767264344</v>
      </c>
      <c r="AD21" s="174">
        <f>AD20/(1+'Input and Output'!$C$30)^AD1</f>
        <v>435319.9136684623</v>
      </c>
      <c r="AE21" s="174">
        <f>AE20/(1+'Input and Output'!$C$30)^AE1</f>
        <v>399597.86603433214</v>
      </c>
      <c r="AF21" s="174">
        <f>AF20/(1+'Input and Output'!$C$30)^AF1</f>
        <v>366929.0085530258</v>
      </c>
      <c r="AG21" s="174">
        <f>AG20/(1+'Input and Output'!$C$30)^AG1</f>
        <v>270377.47454726015</v>
      </c>
      <c r="AH21" s="174">
        <f>AH20/(1+'Input and Output'!$C$30)^AH1</f>
        <v>249095.6126506524</v>
      </c>
      <c r="AI21" s="174">
        <f>AI20/(1+'Input and Output'!$C$30)^AI1</f>
        <v>229581.51863189242</v>
      </c>
      <c r="AJ21" s="174">
        <f>AJ20/(1+'Input and Output'!$C$30)^AJ1</f>
        <v>211682.7265214719</v>
      </c>
      <c r="AK21" s="174">
        <f>AK20/(1+'Input and Output'!$C$30)^AK1</f>
        <v>195260.23156913393</v>
      </c>
      <c r="AL21" s="174">
        <f>AL20/(1+'Input and Output'!$C$30)^AL1</f>
        <v>414407.1093842654</v>
      </c>
      <c r="AM21" s="174">
        <f>AM20/(1+'Input and Output'!$C$30)^AM1</f>
        <v>372173.1256772323</v>
      </c>
      <c r="AN21" s="174">
        <f>AN20/(1+'Input and Output'!$C$30)^AN1</f>
        <v>334004.37037051993</v>
      </c>
      <c r="AO21" s="174">
        <f>AO20/(1+'Input and Output'!$C$30)^AO1</f>
        <v>299520.31185299705</v>
      </c>
      <c r="AP21" s="174">
        <f>AP20/(1+'Input and Output'!$C$30)^AP1</f>
        <v>268375.53727183706</v>
      </c>
      <c r="AQ21" s="174">
        <f>AQ20/(1+'Input and Output'!$C$30)^AQ1</f>
        <v>240256.5350616341</v>
      </c>
      <c r="AR21" s="174">
        <f>AR20/(1+'Input and Output'!$C$30)^AR1</f>
        <v>214878.7711375198</v>
      </c>
      <c r="AS21" s="174">
        <f>AS20/(1+'Input and Output'!$C$30)^AS1</f>
        <v>191984.0320011814</v>
      </c>
      <c r="AT21" s="174">
        <f>AT20/(1+'Input and Output'!$C$30)^AT1</f>
        <v>171338.0104431159</v>
      </c>
      <c r="AU21" s="174">
        <f>AU20/(1+'Input and Output'!$C$30)^AU1</f>
        <v>152728.11173746933</v>
      </c>
      <c r="AV21" s="174">
        <f>AV20/(1+'Input and Output'!$C$30)^AV1</f>
        <v>0</v>
      </c>
      <c r="AW21" s="174">
        <f>AW20/(1+'Input and Output'!$C$30)^AW1</f>
        <v>0</v>
      </c>
      <c r="AX21" s="174">
        <f>AX20/(1+'Input and Output'!$C$30)^AX1</f>
        <v>0</v>
      </c>
      <c r="AY21" s="174">
        <f>AY20/(1+'Input and Output'!$C$30)^AY1</f>
        <v>0</v>
      </c>
      <c r="AZ21" s="174">
        <f>AZ20/(1+'Input and Output'!$C$30)^AZ1</f>
        <v>0</v>
      </c>
      <c r="BA21" s="174">
        <f>BA20/(1+'Input and Output'!$C$30)^BA1</f>
        <v>0</v>
      </c>
      <c r="BB21" s="174">
        <f>BB20/(1+'Input and Output'!$C$30)^BB1</f>
        <v>0</v>
      </c>
      <c r="BC21" s="174">
        <f>BC20/(1+'Input and Output'!$C$30)^BC1</f>
        <v>0</v>
      </c>
      <c r="BD21" s="174">
        <f>BD20/(1+'Input and Output'!$C$30)^BD1</f>
        <v>0</v>
      </c>
      <c r="BE21" s="174">
        <f>BE20/(1+'Input and Output'!$C$30)^BE1</f>
        <v>0</v>
      </c>
      <c r="BF21" s="174">
        <f>BF20/(1+'Input and Output'!$C$30)^BF1</f>
        <v>0</v>
      </c>
      <c r="BG21" s="174">
        <f>BG20/(1+'Input and Output'!$C$30)^BG1</f>
        <v>0</v>
      </c>
      <c r="BH21" s="174">
        <f>BH20/(1+'Input and Output'!$C$30)^BH1</f>
        <v>0</v>
      </c>
      <c r="BI21" s="174">
        <f>BI20/(1+'Input and Output'!$C$30)^BI1</f>
        <v>0</v>
      </c>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72"/>
      <c r="FZ21" s="172"/>
      <c r="GA21" s="172"/>
      <c r="GB21" s="172"/>
      <c r="GC21" s="172"/>
      <c r="GD21" s="172"/>
      <c r="GE21" s="172"/>
      <c r="GF21" s="172"/>
      <c r="GG21" s="172"/>
      <c r="GH21" s="172"/>
      <c r="GI21" s="172"/>
      <c r="GJ21" s="172"/>
      <c r="GK21" s="172"/>
      <c r="GL21" s="172"/>
      <c r="GM21" s="172"/>
      <c r="GN21" s="172"/>
      <c r="GO21" s="172"/>
      <c r="GP21" s="172"/>
      <c r="GQ21" s="172"/>
      <c r="GR21" s="172"/>
      <c r="GS21" s="172"/>
      <c r="GT21" s="172"/>
      <c r="GU21" s="172"/>
      <c r="GV21" s="172"/>
      <c r="GW21" s="172"/>
      <c r="GX21" s="172"/>
      <c r="GY21" s="172"/>
      <c r="GZ21" s="172"/>
      <c r="HA21" s="172"/>
      <c r="HB21" s="172"/>
      <c r="HC21" s="172"/>
      <c r="HD21" s="172"/>
      <c r="HE21" s="172"/>
      <c r="HF21" s="172"/>
      <c r="HG21" s="172"/>
      <c r="HH21" s="172"/>
      <c r="HI21" s="172"/>
      <c r="HJ21" s="172"/>
      <c r="HK21" s="172"/>
      <c r="HL21" s="172"/>
      <c r="HM21" s="172"/>
      <c r="HN21" s="172"/>
      <c r="HO21" s="172"/>
      <c r="HP21" s="172"/>
      <c r="HQ21" s="172"/>
      <c r="HR21" s="172"/>
      <c r="HS21" s="172"/>
      <c r="HT21" s="172"/>
      <c r="HU21" s="172"/>
      <c r="HV21" s="172"/>
      <c r="HW21" s="172"/>
      <c r="HX21" s="172"/>
      <c r="HY21" s="172"/>
      <c r="HZ21" s="172"/>
      <c r="IA21" s="172"/>
      <c r="IB21" s="172"/>
      <c r="IC21" s="172"/>
      <c r="ID21" s="172"/>
      <c r="IE21" s="172"/>
      <c r="IF21" s="172"/>
      <c r="IG21" s="172"/>
      <c r="IH21" s="172"/>
      <c r="II21" s="172"/>
      <c r="IJ21" s="172"/>
      <c r="IK21" s="172"/>
      <c r="IL21" s="172"/>
      <c r="IM21" s="172"/>
      <c r="IN21" s="172"/>
      <c r="IO21" s="172"/>
      <c r="IP21" s="172"/>
    </row>
    <row r="22" spans="1:250" s="171" customFormat="1" ht="12">
      <c r="A22" s="259" t="s">
        <v>397</v>
      </c>
      <c r="B22" s="96" t="s">
        <v>57</v>
      </c>
      <c r="C22" s="263">
        <f>SUM(D22:GY22)</f>
        <v>4769384257.958232</v>
      </c>
      <c r="D22" s="258">
        <f>D20</f>
        <v>-547964.25225</v>
      </c>
      <c r="E22" s="258">
        <f>E20+D22</f>
        <v>-641710.81184075</v>
      </c>
      <c r="F22" s="258">
        <f aca="true" t="shared" si="7" ref="F22:BI22">F20+E22</f>
        <v>-751879.7177135628</v>
      </c>
      <c r="G22" s="258">
        <f t="shared" si="7"/>
        <v>-879398.4682913158</v>
      </c>
      <c r="H22" s="258">
        <f t="shared" si="7"/>
        <v>-945199.6026874362</v>
      </c>
      <c r="I22" s="258">
        <f t="shared" si="7"/>
        <v>-946483.2096683651</v>
      </c>
      <c r="J22" s="258">
        <f t="shared" si="7"/>
        <v>-880326.022929297</v>
      </c>
      <c r="K22" s="258">
        <f t="shared" si="7"/>
        <v>-743676.2181582265</v>
      </c>
      <c r="L22" s="258">
        <f t="shared" si="7"/>
        <v>-524989.8408731453</v>
      </c>
      <c r="M22" s="258">
        <f t="shared" si="7"/>
        <v>771769.39133574</v>
      </c>
      <c r="N22" s="258">
        <f t="shared" si="7"/>
        <v>2093254.3196068327</v>
      </c>
      <c r="O22" s="258">
        <f t="shared" si="7"/>
        <v>3507082.2579765143</v>
      </c>
      <c r="P22" s="258">
        <f t="shared" si="7"/>
        <v>5012720.707621656</v>
      </c>
      <c r="Q22" s="258">
        <f t="shared" si="7"/>
        <v>6614544.323166253</v>
      </c>
      <c r="R22" s="258">
        <f t="shared" si="7"/>
        <v>8253095.873433599</v>
      </c>
      <c r="S22" s="258">
        <f t="shared" si="7"/>
        <v>9930103.433424482</v>
      </c>
      <c r="T22" s="258">
        <f t="shared" si="7"/>
        <v>11647375.145602807</v>
      </c>
      <c r="U22" s="258">
        <f t="shared" si="7"/>
        <v>13406802.854478853</v>
      </c>
      <c r="V22" s="258">
        <f t="shared" si="7"/>
        <v>15203679.369672934</v>
      </c>
      <c r="W22" s="258">
        <f t="shared" si="7"/>
        <v>17254867.30437754</v>
      </c>
      <c r="X22" s="258">
        <f t="shared" si="7"/>
        <v>19346935.172335975</v>
      </c>
      <c r="Y22" s="258">
        <f t="shared" si="7"/>
        <v>21481722.20431073</v>
      </c>
      <c r="Z22" s="258">
        <f t="shared" si="7"/>
        <v>23661147.707675353</v>
      </c>
      <c r="AA22" s="258">
        <f t="shared" si="7"/>
        <v>25887214.382825486</v>
      </c>
      <c r="AB22" s="258">
        <f t="shared" si="7"/>
        <v>31490160.558053397</v>
      </c>
      <c r="AC22" s="258">
        <f t="shared" si="7"/>
        <v>37144017.38550558</v>
      </c>
      <c r="AD22" s="258">
        <f t="shared" si="7"/>
        <v>42851058.92514338</v>
      </c>
      <c r="AE22" s="258">
        <f t="shared" si="7"/>
        <v>48613657.198053844</v>
      </c>
      <c r="AF22" s="258">
        <f t="shared" si="7"/>
        <v>54434286.17474968</v>
      </c>
      <c r="AG22" s="258">
        <f t="shared" si="7"/>
        <v>59152211.49257043</v>
      </c>
      <c r="AH22" s="258">
        <f t="shared" si="7"/>
        <v>63933437.99598198</v>
      </c>
      <c r="AI22" s="258">
        <f t="shared" si="7"/>
        <v>68780770.92523476</v>
      </c>
      <c r="AJ22" s="258">
        <f t="shared" si="7"/>
        <v>73697134.93671884</v>
      </c>
      <c r="AK22" s="258">
        <f t="shared" si="7"/>
        <v>78685578.87000066</v>
      </c>
      <c r="AL22" s="258">
        <f t="shared" si="7"/>
        <v>90331428.49086086</v>
      </c>
      <c r="AM22" s="258">
        <f t="shared" si="7"/>
        <v>101836297.4278411</v>
      </c>
      <c r="AN22" s="258">
        <f t="shared" si="7"/>
        <v>113193764.86547227</v>
      </c>
      <c r="AO22" s="258">
        <f t="shared" si="7"/>
        <v>124397125.47870748</v>
      </c>
      <c r="AP22" s="258">
        <f t="shared" si="7"/>
        <v>135439377.32382807</v>
      </c>
      <c r="AQ22" s="258">
        <f t="shared" si="7"/>
        <v>146313209.246107</v>
      </c>
      <c r="AR22" s="258">
        <f t="shared" si="7"/>
        <v>157010987.7871045</v>
      </c>
      <c r="AS22" s="258">
        <f t="shared" si="7"/>
        <v>167524743.57401842</v>
      </c>
      <c r="AT22" s="258">
        <f t="shared" si="7"/>
        <v>177846157.1730614</v>
      </c>
      <c r="AU22" s="258">
        <f t="shared" si="7"/>
        <v>187966544.38838562</v>
      </c>
      <c r="AV22" s="258">
        <f t="shared" si="7"/>
        <v>187966544.38838562</v>
      </c>
      <c r="AW22" s="258">
        <f t="shared" si="7"/>
        <v>187966544.38838562</v>
      </c>
      <c r="AX22" s="258">
        <f t="shared" si="7"/>
        <v>187966544.38838562</v>
      </c>
      <c r="AY22" s="258">
        <f t="shared" si="7"/>
        <v>187966544.38838562</v>
      </c>
      <c r="AZ22" s="258">
        <f t="shared" si="7"/>
        <v>187966544.38838562</v>
      </c>
      <c r="BA22" s="258">
        <f t="shared" si="7"/>
        <v>187966544.38838562</v>
      </c>
      <c r="BB22" s="258">
        <f t="shared" si="7"/>
        <v>187966544.38838562</v>
      </c>
      <c r="BC22" s="258">
        <f t="shared" si="7"/>
        <v>187966544.38838562</v>
      </c>
      <c r="BD22" s="258">
        <f t="shared" si="7"/>
        <v>187966544.38838562</v>
      </c>
      <c r="BE22" s="258">
        <f t="shared" si="7"/>
        <v>187966544.38838562</v>
      </c>
      <c r="BF22" s="258">
        <f t="shared" si="7"/>
        <v>187966544.38838562</v>
      </c>
      <c r="BG22" s="258">
        <f t="shared" si="7"/>
        <v>187966544.38838562</v>
      </c>
      <c r="BH22" s="258">
        <f t="shared" si="7"/>
        <v>187966544.38838562</v>
      </c>
      <c r="BI22" s="258">
        <f t="shared" si="7"/>
        <v>187966544.38838562</v>
      </c>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172"/>
      <c r="FA22" s="172"/>
      <c r="FB22" s="172"/>
      <c r="FC22" s="172"/>
      <c r="FD22" s="172"/>
      <c r="FE22" s="172"/>
      <c r="FF22" s="172"/>
      <c r="FG22" s="172"/>
      <c r="FH22" s="172"/>
      <c r="FI22" s="172"/>
      <c r="FJ22" s="172"/>
      <c r="FK22" s="172"/>
      <c r="FL22" s="172"/>
      <c r="FM22" s="172"/>
      <c r="FN22" s="172"/>
      <c r="FO22" s="172"/>
      <c r="FP22" s="172"/>
      <c r="FQ22" s="172"/>
      <c r="FR22" s="172"/>
      <c r="FS22" s="172"/>
      <c r="FT22" s="172"/>
      <c r="FU22" s="172"/>
      <c r="FV22" s="172"/>
      <c r="FW22" s="172"/>
      <c r="FX22" s="172"/>
      <c r="FY22" s="172"/>
      <c r="FZ22" s="172"/>
      <c r="GA22" s="172"/>
      <c r="GB22" s="172"/>
      <c r="GC22" s="172"/>
      <c r="GD22" s="172"/>
      <c r="GE22" s="172"/>
      <c r="GF22" s="172"/>
      <c r="GG22" s="172"/>
      <c r="GH22" s="172"/>
      <c r="GI22" s="172"/>
      <c r="GJ22" s="172"/>
      <c r="GK22" s="172"/>
      <c r="GL22" s="172"/>
      <c r="GM22" s="172"/>
      <c r="GN22" s="172"/>
      <c r="GO22" s="172"/>
      <c r="GP22" s="172"/>
      <c r="GQ22" s="172"/>
      <c r="GR22" s="172"/>
      <c r="GS22" s="172"/>
      <c r="GT22" s="172"/>
      <c r="GU22" s="172"/>
      <c r="GV22" s="172"/>
      <c r="GW22" s="172"/>
      <c r="GX22" s="172"/>
      <c r="GY22" s="172"/>
      <c r="GZ22" s="172"/>
      <c r="HA22" s="172"/>
      <c r="HB22" s="172"/>
      <c r="HC22" s="172"/>
      <c r="HD22" s="172"/>
      <c r="HE22" s="172"/>
      <c r="HF22" s="172"/>
      <c r="HG22" s="172"/>
      <c r="HH22" s="172"/>
      <c r="HI22" s="172"/>
      <c r="HJ22" s="172"/>
      <c r="HK22" s="172"/>
      <c r="HL22" s="172"/>
      <c r="HM22" s="172"/>
      <c r="HN22" s="172"/>
      <c r="HO22" s="172"/>
      <c r="HP22" s="172"/>
      <c r="HQ22" s="172"/>
      <c r="HR22" s="172"/>
      <c r="HS22" s="172"/>
      <c r="HT22" s="172"/>
      <c r="HU22" s="172"/>
      <c r="HV22" s="172"/>
      <c r="HW22" s="172"/>
      <c r="HX22" s="172"/>
      <c r="HY22" s="172"/>
      <c r="HZ22" s="172"/>
      <c r="IA22" s="172"/>
      <c r="IB22" s="172"/>
      <c r="IC22" s="172"/>
      <c r="ID22" s="172"/>
      <c r="IE22" s="172"/>
      <c r="IF22" s="172"/>
      <c r="IG22" s="172"/>
      <c r="IH22" s="172"/>
      <c r="II22" s="172"/>
      <c r="IJ22" s="172"/>
      <c r="IK22" s="172"/>
      <c r="IL22" s="172"/>
      <c r="IM22" s="172"/>
      <c r="IN22" s="172"/>
      <c r="IO22" s="172"/>
      <c r="IP22" s="172"/>
    </row>
    <row r="23" ht="13.5" thickBot="1"/>
    <row r="24" spans="1:3" ht="13.5" thickBot="1">
      <c r="A24" s="31" t="s">
        <v>4</v>
      </c>
      <c r="B24" s="32"/>
      <c r="C24" s="71">
        <f>SUM(D21:BI21)</f>
        <v>10710425.464791182</v>
      </c>
    </row>
    <row r="25" spans="1:3" ht="13.5" thickBot="1">
      <c r="A25" s="94"/>
      <c r="B25" s="94"/>
      <c r="C25" s="111"/>
    </row>
    <row r="26" spans="1:3" ht="13.5" thickBot="1">
      <c r="A26" s="31" t="s">
        <v>5</v>
      </c>
      <c r="B26" s="32"/>
      <c r="C26" s="72">
        <f>IRR(D20:BI20)</f>
        <v>0.291439064101556</v>
      </c>
    </row>
    <row r="27" spans="1:3" ht="13.5" thickBot="1">
      <c r="A27" s="94"/>
      <c r="B27" s="94"/>
      <c r="C27" s="111"/>
    </row>
    <row r="28" spans="1:3" ht="13.5" thickBot="1">
      <c r="A28" s="31" t="s">
        <v>73</v>
      </c>
      <c r="B28" s="32"/>
      <c r="C28" s="71">
        <f>D3+D4*'Notes and Assumptions'!D55</f>
        <v>-1198792.5225000002</v>
      </c>
    </row>
    <row r="29" spans="1:3" ht="13.5" thickBot="1">
      <c r="A29" s="94"/>
      <c r="B29" s="94"/>
      <c r="C29" s="111"/>
    </row>
    <row r="30" spans="1:3" ht="13.5" thickBot="1">
      <c r="A30" s="31" t="s">
        <v>3</v>
      </c>
      <c r="B30" s="32"/>
      <c r="C30" s="71">
        <f>COUNTIF(D22:BI22,"&lt;0")</f>
        <v>9</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53"/>
    <pageSetUpPr fitToPage="1"/>
  </sheetPr>
  <dimension ref="A1:G75"/>
  <sheetViews>
    <sheetView zoomScalePageLayoutView="0" workbookViewId="0" topLeftCell="A1">
      <selection activeCell="A1" sqref="A1"/>
    </sheetView>
  </sheetViews>
  <sheetFormatPr defaultColWidth="9.140625" defaultRowHeight="12.75"/>
  <cols>
    <col min="1" max="1" width="37.28125" style="1" customWidth="1"/>
    <col min="2" max="2" width="7.8515625" style="1" customWidth="1"/>
    <col min="3" max="3" width="19.140625" style="208" customWidth="1"/>
    <col min="4" max="4" width="19.140625" style="1" customWidth="1"/>
    <col min="5" max="5" width="19.140625" style="208" customWidth="1"/>
    <col min="6" max="6" width="19.140625" style="1" customWidth="1"/>
    <col min="7" max="16384" width="9.140625" style="1" customWidth="1"/>
  </cols>
  <sheetData>
    <row r="1" spans="1:7" ht="12.75">
      <c r="A1" s="51"/>
      <c r="B1" s="15"/>
      <c r="C1" s="210"/>
      <c r="D1" s="5"/>
      <c r="E1" s="227"/>
      <c r="F1" s="5"/>
      <c r="G1" s="5"/>
    </row>
    <row r="2" spans="2:7" s="22" customFormat="1" ht="13.5" thickBot="1">
      <c r="B2" s="23"/>
      <c r="C2" s="211"/>
      <c r="D2" s="21"/>
      <c r="E2" s="211"/>
      <c r="F2" s="21"/>
      <c r="G2" s="21"/>
    </row>
    <row r="3" spans="1:7" ht="12.75">
      <c r="A3" s="6" t="s">
        <v>316</v>
      </c>
      <c r="B3" s="8"/>
      <c r="C3" s="212"/>
      <c r="D3" s="10"/>
      <c r="E3" s="212"/>
      <c r="F3" s="10"/>
      <c r="G3" s="26"/>
    </row>
    <row r="4" spans="1:7" s="208" customFormat="1" ht="12.75">
      <c r="A4" s="208" t="s">
        <v>381</v>
      </c>
      <c r="G4" s="209"/>
    </row>
    <row r="5" spans="1:7" ht="12.75">
      <c r="A5" s="1" t="s">
        <v>331</v>
      </c>
      <c r="B5" s="1" t="str">
        <f>'Input and Output'!C27</f>
        <v>Africa</v>
      </c>
      <c r="C5" s="1" t="s">
        <v>329</v>
      </c>
      <c r="D5" s="230">
        <f>'Input and Output'!C36</f>
        <v>50000</v>
      </c>
      <c r="E5" s="229" t="s">
        <v>330</v>
      </c>
      <c r="G5" s="26"/>
    </row>
    <row r="7" spans="1:6" ht="12.75">
      <c r="A7" s="7" t="s">
        <v>348</v>
      </c>
      <c r="B7" s="7"/>
      <c r="C7" s="213"/>
      <c r="D7" s="7"/>
      <c r="E7" s="213"/>
      <c r="F7" s="7"/>
    </row>
    <row r="9" spans="1:5" s="191" customFormat="1" ht="12.75">
      <c r="A9" s="204"/>
      <c r="B9" s="204"/>
      <c r="C9" s="214" t="s">
        <v>308</v>
      </c>
      <c r="D9" s="204" t="s">
        <v>309</v>
      </c>
      <c r="E9" s="214" t="s">
        <v>310</v>
      </c>
    </row>
    <row r="10" spans="1:5" ht="12.75">
      <c r="A10" s="67" t="s">
        <v>318</v>
      </c>
      <c r="B10" s="190"/>
      <c r="C10" s="219">
        <v>0.15</v>
      </c>
      <c r="D10" s="195">
        <f>'Input and Output'!C107</f>
        <v>0.3</v>
      </c>
      <c r="E10" s="219">
        <v>0.45</v>
      </c>
    </row>
    <row r="11" spans="1:5" ht="12.75">
      <c r="A11" s="67" t="s">
        <v>319</v>
      </c>
      <c r="B11" s="190"/>
      <c r="C11" s="219">
        <v>0.35</v>
      </c>
      <c r="D11" s="195">
        <f>'Input and Output'!C111</f>
        <v>0.7</v>
      </c>
      <c r="E11" s="219">
        <v>1.05</v>
      </c>
    </row>
    <row r="12" spans="1:5" ht="12.75">
      <c r="A12" s="67" t="s">
        <v>320</v>
      </c>
      <c r="B12" s="190"/>
      <c r="C12" s="219">
        <v>0.5</v>
      </c>
      <c r="D12" s="195">
        <f>'Input and Output'!C115</f>
        <v>1</v>
      </c>
      <c r="E12" s="219">
        <v>1.5</v>
      </c>
    </row>
    <row r="13" spans="1:5" ht="12.75">
      <c r="A13" s="67" t="s">
        <v>321</v>
      </c>
      <c r="B13" s="190"/>
      <c r="C13" s="219">
        <v>0.5</v>
      </c>
      <c r="D13" s="195">
        <f>'Input and Output'!C119</f>
        <v>1</v>
      </c>
      <c r="E13" s="219">
        <v>1.5</v>
      </c>
    </row>
    <row r="14" spans="1:5" ht="12.75">
      <c r="A14" s="67" t="s">
        <v>135</v>
      </c>
      <c r="B14" s="190" t="s">
        <v>57</v>
      </c>
      <c r="C14" s="216">
        <v>631649</v>
      </c>
      <c r="D14" s="196">
        <f>Workings!$C$64</f>
        <v>1248738.324365922</v>
      </c>
      <c r="E14" s="216">
        <v>1830484</v>
      </c>
    </row>
    <row r="15" spans="1:5" ht="12.75">
      <c r="A15" s="67" t="s">
        <v>136</v>
      </c>
      <c r="B15" s="190" t="s">
        <v>32</v>
      </c>
      <c r="C15" s="217">
        <v>0.155</v>
      </c>
      <c r="D15" s="197">
        <f>'Input and Output'!$C$10</f>
        <v>0.18662422995792444</v>
      </c>
      <c r="E15" s="217">
        <v>0.209</v>
      </c>
    </row>
    <row r="17" spans="1:6" ht="12.75">
      <c r="A17" s="7" t="s">
        <v>349</v>
      </c>
      <c r="B17" s="7"/>
      <c r="C17" s="213"/>
      <c r="D17" s="7"/>
      <c r="E17" s="213"/>
      <c r="F17" s="7"/>
    </row>
    <row r="19" spans="1:5" s="191" customFormat="1" ht="12.75">
      <c r="A19" s="204"/>
      <c r="B19" s="204"/>
      <c r="C19" s="214" t="s">
        <v>308</v>
      </c>
      <c r="D19" s="204" t="s">
        <v>309</v>
      </c>
      <c r="E19" s="214" t="s">
        <v>310</v>
      </c>
    </row>
    <row r="20" spans="1:5" ht="12.75">
      <c r="A20" s="67" t="s">
        <v>105</v>
      </c>
      <c r="B20" s="190"/>
      <c r="C20" s="220">
        <v>0</v>
      </c>
      <c r="D20" s="198">
        <f>'Input and Output'!C103</f>
        <v>0.01</v>
      </c>
      <c r="E20" s="220">
        <v>0.02</v>
      </c>
    </row>
    <row r="21" spans="1:5" ht="12.75">
      <c r="A21" s="67" t="s">
        <v>333</v>
      </c>
      <c r="B21" s="190"/>
      <c r="C21" s="221">
        <v>150</v>
      </c>
      <c r="D21" s="199">
        <f>'Input and Output'!G101</f>
        <v>192.36479925258513</v>
      </c>
      <c r="E21" s="228">
        <v>246.09089916970945</v>
      </c>
    </row>
    <row r="22" spans="1:5" ht="12.75">
      <c r="A22" s="67" t="s">
        <v>334</v>
      </c>
      <c r="B22" s="190"/>
      <c r="C22" s="221">
        <v>400</v>
      </c>
      <c r="D22" s="199">
        <f>'Input and Output'!G100</f>
        <v>566.6411024125073</v>
      </c>
      <c r="E22" s="228">
        <v>799.9558210649819</v>
      </c>
    </row>
    <row r="23" spans="1:5" ht="12.75">
      <c r="A23" s="67" t="s">
        <v>135</v>
      </c>
      <c r="B23" s="190" t="s">
        <v>57</v>
      </c>
      <c r="C23" s="216">
        <v>994339</v>
      </c>
      <c r="D23" s="196">
        <f>Workings!$C$64</f>
        <v>1248738.324365922</v>
      </c>
      <c r="E23" s="224">
        <v>1536818</v>
      </c>
    </row>
    <row r="24" spans="1:5" ht="12.75">
      <c r="A24" s="67" t="s">
        <v>136</v>
      </c>
      <c r="B24" s="190" t="s">
        <v>32</v>
      </c>
      <c r="C24" s="217">
        <v>0.177</v>
      </c>
      <c r="D24" s="197">
        <f>'Input and Output'!$C$10</f>
        <v>0.18662422995792444</v>
      </c>
      <c r="E24" s="225">
        <v>0.194</v>
      </c>
    </row>
    <row r="26" spans="1:6" ht="12.75">
      <c r="A26" s="7" t="s">
        <v>350</v>
      </c>
      <c r="B26" s="7"/>
      <c r="C26" s="213"/>
      <c r="D26" s="7"/>
      <c r="E26" s="213"/>
      <c r="F26" s="7"/>
    </row>
    <row r="28" spans="1:5" s="191" customFormat="1" ht="12.75">
      <c r="A28" s="204"/>
      <c r="B28" s="204"/>
      <c r="C28" s="214" t="s">
        <v>308</v>
      </c>
      <c r="D28" s="204" t="s">
        <v>309</v>
      </c>
      <c r="E28" s="214" t="s">
        <v>310</v>
      </c>
    </row>
    <row r="29" spans="1:5" s="201" customFormat="1" ht="12.75" customHeight="1">
      <c r="A29" s="206" t="s">
        <v>201</v>
      </c>
      <c r="B29" s="200"/>
      <c r="C29" s="226">
        <v>0.6</v>
      </c>
      <c r="D29" s="207">
        <f>'Input and Output'!C95</f>
        <v>0.9</v>
      </c>
      <c r="E29" s="226">
        <v>0.98</v>
      </c>
    </row>
    <row r="30" spans="1:5" s="201" customFormat="1" ht="12.75">
      <c r="A30" s="206" t="s">
        <v>202</v>
      </c>
      <c r="B30" s="200"/>
      <c r="C30" s="226">
        <v>0.6</v>
      </c>
      <c r="D30" s="207">
        <f>'Input and Output'!C96</f>
        <v>0.95</v>
      </c>
      <c r="E30" s="226">
        <v>0.98</v>
      </c>
    </row>
    <row r="31" spans="1:5" s="201" customFormat="1" ht="12.75">
      <c r="A31" s="206" t="s">
        <v>203</v>
      </c>
      <c r="B31" s="200"/>
      <c r="C31" s="226">
        <v>0.6</v>
      </c>
      <c r="D31" s="207">
        <f>'Input and Output'!C97</f>
        <v>0.95</v>
      </c>
      <c r="E31" s="226">
        <v>0.98</v>
      </c>
    </row>
    <row r="32" spans="1:5" ht="12.75">
      <c r="A32" s="67" t="s">
        <v>135</v>
      </c>
      <c r="B32" s="190" t="s">
        <v>57</v>
      </c>
      <c r="C32" s="224">
        <v>527362</v>
      </c>
      <c r="D32" s="196">
        <f>Workings!$C$64</f>
        <v>1248738.324365922</v>
      </c>
      <c r="E32" s="224">
        <v>1389055</v>
      </c>
    </row>
    <row r="33" spans="1:5" ht="12.75">
      <c r="A33" s="67" t="s">
        <v>136</v>
      </c>
      <c r="B33" s="190" t="s">
        <v>32</v>
      </c>
      <c r="C33" s="225">
        <v>0.154</v>
      </c>
      <c r="D33" s="197">
        <f>'Input and Output'!$C$10</f>
        <v>0.18662422995792444</v>
      </c>
      <c r="E33" s="225">
        <v>0.191</v>
      </c>
    </row>
    <row r="34" spans="1:5" ht="12.75">
      <c r="A34" s="67"/>
      <c r="B34" s="190"/>
      <c r="C34" s="235"/>
      <c r="D34" s="236"/>
      <c r="E34" s="235"/>
    </row>
    <row r="35" spans="1:6" ht="12.75">
      <c r="A35" s="7" t="s">
        <v>351</v>
      </c>
      <c r="B35" s="7"/>
      <c r="C35" s="213"/>
      <c r="D35" s="7"/>
      <c r="E35" s="213"/>
      <c r="F35" s="7"/>
    </row>
    <row r="37" spans="1:6" s="191" customFormat="1" ht="12.75">
      <c r="A37" s="204"/>
      <c r="B37" s="204"/>
      <c r="C37" s="214" t="s">
        <v>308</v>
      </c>
      <c r="D37" s="204" t="s">
        <v>309</v>
      </c>
      <c r="E37" s="214" t="s">
        <v>310</v>
      </c>
      <c r="F37" s="248" t="s">
        <v>311</v>
      </c>
    </row>
    <row r="38" spans="1:6" s="201" customFormat="1" ht="12.75">
      <c r="A38" s="192" t="s">
        <v>338</v>
      </c>
      <c r="B38" s="200"/>
      <c r="C38" s="222">
        <v>1</v>
      </c>
      <c r="D38" s="202">
        <f>'Input and Output'!C122</f>
        <v>2</v>
      </c>
      <c r="E38" s="222">
        <v>3</v>
      </c>
      <c r="F38" s="267" t="s">
        <v>323</v>
      </c>
    </row>
    <row r="39" spans="1:6" s="201" customFormat="1" ht="12.75">
      <c r="A39" s="192" t="s">
        <v>317</v>
      </c>
      <c r="B39" s="200"/>
      <c r="C39" s="223">
        <v>0.01</v>
      </c>
      <c r="D39" s="203">
        <f>'Input and Output'!C123</f>
        <v>0.03</v>
      </c>
      <c r="E39" s="223">
        <v>0.05</v>
      </c>
      <c r="F39" s="267"/>
    </row>
    <row r="40" spans="1:6" s="201" customFormat="1" ht="12.75">
      <c r="A40" s="192" t="s">
        <v>339</v>
      </c>
      <c r="B40" s="200"/>
      <c r="C40" s="228">
        <v>0.5</v>
      </c>
      <c r="D40" s="231">
        <f>'Input and Output'!C124</f>
        <v>0.75</v>
      </c>
      <c r="E40" s="228">
        <v>1</v>
      </c>
      <c r="F40" s="267"/>
    </row>
    <row r="41" spans="1:6" s="201" customFormat="1" ht="12.75">
      <c r="A41" s="192" t="s">
        <v>322</v>
      </c>
      <c r="B41" s="200"/>
      <c r="C41" s="223">
        <v>0.01</v>
      </c>
      <c r="D41" s="203">
        <f>'Input and Output'!C125</f>
        <v>0.02</v>
      </c>
      <c r="E41" s="223">
        <v>0.03</v>
      </c>
      <c r="F41" s="268"/>
    </row>
    <row r="42" spans="1:6" ht="12.75">
      <c r="A42" s="67" t="s">
        <v>135</v>
      </c>
      <c r="B42" s="190" t="s">
        <v>57</v>
      </c>
      <c r="C42" s="224">
        <v>471198</v>
      </c>
      <c r="D42" s="196">
        <f>Workings!$C$64</f>
        <v>1248738.324365922</v>
      </c>
      <c r="E42" s="224">
        <v>3228865</v>
      </c>
      <c r="F42" s="196">
        <v>406022</v>
      </c>
    </row>
    <row r="43" spans="1:6" ht="12.75">
      <c r="A43" s="67" t="s">
        <v>136</v>
      </c>
      <c r="B43" s="190" t="s">
        <v>32</v>
      </c>
      <c r="C43" s="225">
        <v>0.134</v>
      </c>
      <c r="D43" s="197">
        <f>'Input and Output'!$C$10</f>
        <v>0.18662422995792444</v>
      </c>
      <c r="E43" s="225">
        <v>0.269</v>
      </c>
      <c r="F43" s="197">
        <v>0.135</v>
      </c>
    </row>
    <row r="44" spans="1:6" ht="12.75">
      <c r="A44" s="67" t="s">
        <v>354</v>
      </c>
      <c r="B44" s="190" t="s">
        <v>232</v>
      </c>
      <c r="C44" s="233">
        <f>D44</f>
        <v>11417.477857142856</v>
      </c>
      <c r="D44" s="232">
        <f>'Input and Output'!C17</f>
        <v>11417.477857142856</v>
      </c>
      <c r="E44" s="233">
        <f>D44</f>
        <v>11417.477857142856</v>
      </c>
      <c r="F44" s="266">
        <v>11157</v>
      </c>
    </row>
    <row r="46" spans="1:6" ht="12.75">
      <c r="A46" s="7" t="s">
        <v>352</v>
      </c>
      <c r="B46" s="7"/>
      <c r="C46" s="213"/>
      <c r="D46" s="7"/>
      <c r="E46" s="213"/>
      <c r="F46" s="7"/>
    </row>
    <row r="47" ht="12.75">
      <c r="A47" s="191"/>
    </row>
    <row r="48" spans="1:5" s="191" customFormat="1" ht="12.75">
      <c r="A48" s="204"/>
      <c r="B48" s="204"/>
      <c r="C48" s="214" t="s">
        <v>308</v>
      </c>
      <c r="D48" s="204" t="s">
        <v>309</v>
      </c>
      <c r="E48" s="214" t="s">
        <v>310</v>
      </c>
    </row>
    <row r="49" spans="1:5" s="201" customFormat="1" ht="12.75">
      <c r="A49" s="192" t="s">
        <v>336</v>
      </c>
      <c r="B49" s="200"/>
      <c r="C49" s="222">
        <v>2</v>
      </c>
      <c r="D49" s="202">
        <f>'Input and Output'!C132</f>
        <v>6</v>
      </c>
      <c r="E49" s="222">
        <v>6</v>
      </c>
    </row>
    <row r="50" spans="1:5" s="201" customFormat="1" ht="12.75">
      <c r="A50" s="192" t="s">
        <v>335</v>
      </c>
      <c r="B50" s="200"/>
      <c r="C50" s="223">
        <v>0.02</v>
      </c>
      <c r="D50" s="203">
        <f>'Input and Output'!C133</f>
        <v>0.06</v>
      </c>
      <c r="E50" s="223">
        <v>0.06</v>
      </c>
    </row>
    <row r="51" spans="1:5" s="201" customFormat="1" ht="12.75">
      <c r="A51" s="192" t="s">
        <v>337</v>
      </c>
      <c r="B51" s="200"/>
      <c r="C51" s="228">
        <v>3.28</v>
      </c>
      <c r="D51" s="199">
        <f>'Input and Output'!G132</f>
        <v>25.751224318460928</v>
      </c>
      <c r="E51" s="228">
        <v>25.751224318460928</v>
      </c>
    </row>
    <row r="52" spans="1:5" ht="12.75">
      <c r="A52" s="67" t="s">
        <v>135</v>
      </c>
      <c r="B52" s="190" t="s">
        <v>57</v>
      </c>
      <c r="C52" s="216">
        <v>1219832</v>
      </c>
      <c r="D52" s="196">
        <f>Workings!$C$64</f>
        <v>1248738.324365922</v>
      </c>
      <c r="E52" s="224">
        <v>1248738</v>
      </c>
    </row>
    <row r="53" spans="1:5" ht="12.75">
      <c r="A53" s="67" t="s">
        <v>136</v>
      </c>
      <c r="B53" s="190" t="s">
        <v>32</v>
      </c>
      <c r="C53" s="217">
        <v>0.184</v>
      </c>
      <c r="D53" s="197">
        <f>'Input and Output'!$C$10</f>
        <v>0.18662422995792444</v>
      </c>
      <c r="E53" s="225">
        <v>0.187</v>
      </c>
    </row>
    <row r="55" spans="1:6" ht="12.75">
      <c r="A55" s="7" t="s">
        <v>353</v>
      </c>
      <c r="B55" s="7"/>
      <c r="C55" s="213"/>
      <c r="D55" s="7"/>
      <c r="E55" s="213"/>
      <c r="F55" s="7"/>
    </row>
    <row r="57" spans="1:5" s="191" customFormat="1" ht="12.75">
      <c r="A57" s="204"/>
      <c r="B57" s="204"/>
      <c r="C57" s="214" t="s">
        <v>308</v>
      </c>
      <c r="D57" s="204" t="s">
        <v>309</v>
      </c>
      <c r="E57" s="214" t="s">
        <v>310</v>
      </c>
    </row>
    <row r="58" spans="1:5" ht="12.75">
      <c r="A58" s="67" t="s">
        <v>332</v>
      </c>
      <c r="B58" s="190"/>
      <c r="C58" s="215">
        <v>15</v>
      </c>
      <c r="D58" s="189">
        <f>'Input and Output'!C60</f>
        <v>10</v>
      </c>
      <c r="E58" s="215">
        <v>5</v>
      </c>
    </row>
    <row r="59" spans="1:5" ht="12.75">
      <c r="A59" s="67" t="s">
        <v>135</v>
      </c>
      <c r="B59" s="190" t="s">
        <v>57</v>
      </c>
      <c r="C59" s="216">
        <v>1137390</v>
      </c>
      <c r="D59" s="196">
        <f>Workings!$C$64</f>
        <v>1248738.324365922</v>
      </c>
      <c r="E59" s="216">
        <v>1360087</v>
      </c>
    </row>
    <row r="60" spans="1:5" ht="12.75">
      <c r="A60" s="67" t="s">
        <v>136</v>
      </c>
      <c r="B60" s="190" t="s">
        <v>32</v>
      </c>
      <c r="C60" s="217">
        <v>0.178</v>
      </c>
      <c r="D60" s="197">
        <f>'Input and Output'!$C$10</f>
        <v>0.18662422995792444</v>
      </c>
      <c r="E60" s="217">
        <v>0.196</v>
      </c>
    </row>
    <row r="61" spans="3:5" ht="12.75">
      <c r="C61" s="218"/>
      <c r="D61" s="188"/>
      <c r="E61" s="218"/>
    </row>
    <row r="62" spans="1:6" ht="12.75">
      <c r="A62" s="7" t="s">
        <v>362</v>
      </c>
      <c r="B62" s="7"/>
      <c r="C62" s="213"/>
      <c r="D62" s="7"/>
      <c r="E62" s="213"/>
      <c r="F62" s="7"/>
    </row>
    <row r="64" spans="1:6" ht="12.75">
      <c r="A64" s="138" t="s">
        <v>363</v>
      </c>
      <c r="D64" s="204" t="s">
        <v>309</v>
      </c>
      <c r="E64" s="269" t="s">
        <v>365</v>
      </c>
      <c r="F64" s="249" t="s">
        <v>366</v>
      </c>
    </row>
    <row r="65" spans="1:6" ht="12.75">
      <c r="A65" s="67" t="s">
        <v>332</v>
      </c>
      <c r="D65" s="244">
        <f>D58</f>
        <v>10</v>
      </c>
      <c r="E65" s="269"/>
      <c r="F65" s="250">
        <v>90</v>
      </c>
    </row>
    <row r="66" spans="1:6" ht="12.75">
      <c r="A66" s="75" t="s">
        <v>367</v>
      </c>
      <c r="D66" s="202"/>
      <c r="E66" s="269"/>
      <c r="F66" s="251"/>
    </row>
    <row r="67" spans="1:6" ht="12.75">
      <c r="A67" s="138" t="s">
        <v>364</v>
      </c>
      <c r="D67" s="202"/>
      <c r="E67" s="269"/>
      <c r="F67" s="251"/>
    </row>
    <row r="68" spans="1:6" ht="12.75">
      <c r="A68" s="206" t="s">
        <v>201</v>
      </c>
      <c r="D68" s="203">
        <f>D29</f>
        <v>0.9</v>
      </c>
      <c r="E68" s="269"/>
      <c r="F68" s="252">
        <v>0.6</v>
      </c>
    </row>
    <row r="69" spans="1:6" ht="12.75">
      <c r="A69" s="206" t="s">
        <v>202</v>
      </c>
      <c r="D69" s="203">
        <f>D30</f>
        <v>0.95</v>
      </c>
      <c r="E69" s="269"/>
      <c r="F69" s="252">
        <v>0.6</v>
      </c>
    </row>
    <row r="70" spans="1:6" ht="12.75">
      <c r="A70" s="206" t="s">
        <v>203</v>
      </c>
      <c r="D70" s="203">
        <f>D31</f>
        <v>0.95</v>
      </c>
      <c r="E70" s="269"/>
      <c r="F70" s="252">
        <v>0.6</v>
      </c>
    </row>
    <row r="71" spans="1:6" ht="12.75">
      <c r="A71" s="192" t="s">
        <v>338</v>
      </c>
      <c r="B71" s="190"/>
      <c r="D71" s="242">
        <f>D38</f>
        <v>2</v>
      </c>
      <c r="E71" s="269"/>
      <c r="F71" s="253">
        <v>1.96</v>
      </c>
    </row>
    <row r="72" spans="1:6" ht="12.75">
      <c r="A72" s="192" t="s">
        <v>317</v>
      </c>
      <c r="B72" s="190"/>
      <c r="D72" s="243">
        <f>D39</f>
        <v>0.03</v>
      </c>
      <c r="E72" s="269"/>
      <c r="F72" s="254">
        <v>0.02</v>
      </c>
    </row>
    <row r="73" spans="1:6" ht="12.75">
      <c r="A73" s="192" t="s">
        <v>339</v>
      </c>
      <c r="B73" s="190"/>
      <c r="D73" s="242">
        <f>D40</f>
        <v>0.75</v>
      </c>
      <c r="E73" s="269"/>
      <c r="F73" s="253">
        <v>0.75</v>
      </c>
    </row>
    <row r="74" spans="1:6" ht="12.75">
      <c r="A74" s="192" t="s">
        <v>322</v>
      </c>
      <c r="B74" s="190"/>
      <c r="D74" s="243">
        <f>D41</f>
        <v>0.02</v>
      </c>
      <c r="E74" s="269"/>
      <c r="F74" s="254">
        <v>0.02</v>
      </c>
    </row>
    <row r="75" ht="12.75">
      <c r="D75" s="202"/>
    </row>
  </sheetData>
  <sheetProtection/>
  <mergeCells count="2">
    <mergeCell ref="F38:F41"/>
    <mergeCell ref="E64:E74"/>
  </mergeCells>
  <printOptions/>
  <pageMargins left="0.75" right="0.75" top="1" bottom="1" header="0.5" footer="0.5"/>
  <pageSetup fitToHeight="1" fitToWidth="1" orientation="portrait" paperSize="9" scale="71" r:id="rId2"/>
  <headerFooter alignWithMargins="0">
    <oddFooter>&amp;L&amp;"Calibri,Regular"&amp;8Groasis&amp;C&amp;"Calibri,Regular"&amp;8Financial model for a reforestation project&amp;R&amp;"Calibri,Regular"&amp;8Copyright Wout Hoff</oddFooter>
  </headerFooter>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AL11"/>
  <sheetViews>
    <sheetView zoomScalePageLayoutView="0" workbookViewId="0" topLeftCell="A1">
      <selection activeCell="A1" sqref="A1"/>
    </sheetView>
  </sheetViews>
  <sheetFormatPr defaultColWidth="9.140625" defaultRowHeight="12.75"/>
  <cols>
    <col min="1" max="2" width="9.140625" style="1" customWidth="1"/>
    <col min="3" max="3" width="22.421875" style="1" customWidth="1"/>
    <col min="4" max="4" width="20.28125" style="1" bestFit="1" customWidth="1"/>
    <col min="5" max="5" width="9.28125" style="1" bestFit="1" customWidth="1"/>
    <col min="6" max="6" width="9.421875" style="1" bestFit="1" customWidth="1"/>
    <col min="7" max="10" width="9.28125" style="1" bestFit="1" customWidth="1"/>
    <col min="11" max="11" width="9.421875" style="1" bestFit="1" customWidth="1"/>
    <col min="12" max="22" width="9.28125" style="1" bestFit="1" customWidth="1"/>
    <col min="23" max="16384" width="9.140625" style="1" customWidth="1"/>
  </cols>
  <sheetData>
    <row r="2" spans="2:38" ht="12.75">
      <c r="B2" s="2" t="str">
        <f>Workings!A3</f>
        <v>year of operation</v>
      </c>
      <c r="C2" s="112"/>
      <c r="D2" s="113">
        <f>Workings!D3</f>
        <v>1</v>
      </c>
      <c r="E2" s="113">
        <f>Workings!E3</f>
        <v>2</v>
      </c>
      <c r="F2" s="113">
        <f>Workings!F3</f>
        <v>3</v>
      </c>
      <c r="G2" s="113">
        <f>Workings!G3</f>
        <v>4</v>
      </c>
      <c r="H2" s="113">
        <f>Workings!H3</f>
        <v>5</v>
      </c>
      <c r="I2" s="113">
        <f>Workings!I3</f>
        <v>6</v>
      </c>
      <c r="J2" s="113">
        <f>Workings!J3</f>
        <v>7</v>
      </c>
      <c r="K2" s="113">
        <f>Workings!K3</f>
        <v>8</v>
      </c>
      <c r="L2" s="113">
        <f>Workings!L3</f>
        <v>9</v>
      </c>
      <c r="M2" s="113">
        <f>Workings!M3</f>
        <v>10</v>
      </c>
      <c r="N2" s="113">
        <f>Workings!N3</f>
        <v>11</v>
      </c>
      <c r="O2" s="113">
        <f>Workings!O3</f>
        <v>12</v>
      </c>
      <c r="P2" s="113">
        <f>Workings!P3</f>
        <v>13</v>
      </c>
      <c r="Q2" s="113">
        <f>Workings!Q3</f>
        <v>14</v>
      </c>
      <c r="R2" s="113">
        <f>Workings!R3</f>
        <v>15</v>
      </c>
      <c r="S2" s="113">
        <f>Workings!S3</f>
        <v>16</v>
      </c>
      <c r="T2" s="113">
        <f>Workings!T3</f>
        <v>17</v>
      </c>
      <c r="U2" s="113">
        <f>Workings!U3</f>
        <v>18</v>
      </c>
      <c r="V2" s="113">
        <f>Workings!V3</f>
        <v>19</v>
      </c>
      <c r="W2" s="113">
        <f>Workings!W3</f>
        <v>20</v>
      </c>
      <c r="X2" s="113">
        <f>Workings!X3</f>
        <v>21</v>
      </c>
      <c r="Y2" s="113">
        <f>Workings!Y3</f>
        <v>22</v>
      </c>
      <c r="Z2" s="113">
        <f>Workings!Z3</f>
        <v>23</v>
      </c>
      <c r="AA2" s="113">
        <f>Workings!AA3</f>
        <v>24</v>
      </c>
      <c r="AB2" s="113">
        <f>Workings!AB3</f>
        <v>25</v>
      </c>
      <c r="AC2" s="113">
        <f>Workings!AC3</f>
        <v>26</v>
      </c>
      <c r="AD2" s="113">
        <f>Workings!AD3</f>
        <v>27</v>
      </c>
      <c r="AE2" s="113">
        <f>Workings!AE3</f>
        <v>28</v>
      </c>
      <c r="AF2" s="113">
        <f>Workings!AF3</f>
        <v>29</v>
      </c>
      <c r="AG2" s="113">
        <f>Workings!AG3</f>
        <v>30</v>
      </c>
      <c r="AH2" s="113">
        <f>Workings!AH3</f>
        <v>31</v>
      </c>
      <c r="AI2" s="113">
        <f>Workings!AI3</f>
        <v>32</v>
      </c>
      <c r="AJ2" s="113">
        <f>Workings!AJ3</f>
        <v>33</v>
      </c>
      <c r="AK2" s="113">
        <f>Workings!AK3</f>
        <v>34</v>
      </c>
      <c r="AL2" s="113">
        <f>Workings!AL3</f>
        <v>35</v>
      </c>
    </row>
    <row r="3" spans="2:38" ht="12.75">
      <c r="B3" s="114"/>
      <c r="C3" s="115"/>
      <c r="D3" s="113">
        <f>Workings!D4</f>
        <v>2011</v>
      </c>
      <c r="E3" s="113">
        <f>Workings!E4</f>
        <v>2012</v>
      </c>
      <c r="F3" s="113">
        <f>Workings!F4</f>
        <v>2013</v>
      </c>
      <c r="G3" s="113">
        <f>Workings!G4</f>
        <v>2014</v>
      </c>
      <c r="H3" s="113">
        <f>Workings!H4</f>
        <v>2015</v>
      </c>
      <c r="I3" s="113">
        <f>Workings!I4</f>
        <v>2016</v>
      </c>
      <c r="J3" s="113">
        <f>Workings!J4</f>
        <v>2017</v>
      </c>
      <c r="K3" s="113">
        <f>Workings!K4</f>
        <v>2018</v>
      </c>
      <c r="L3" s="113">
        <f>Workings!L4</f>
        <v>2019</v>
      </c>
      <c r="M3" s="113">
        <f>Workings!M4</f>
        <v>2020</v>
      </c>
      <c r="N3" s="113">
        <f>Workings!N4</f>
        <v>2021</v>
      </c>
      <c r="O3" s="113">
        <f>Workings!O4</f>
        <v>2022</v>
      </c>
      <c r="P3" s="113">
        <f>Workings!P4</f>
        <v>2023</v>
      </c>
      <c r="Q3" s="113">
        <f>Workings!Q4</f>
        <v>2024</v>
      </c>
      <c r="R3" s="113">
        <f>Workings!R4</f>
        <v>2025</v>
      </c>
      <c r="S3" s="113">
        <f>Workings!S4</f>
        <v>2026</v>
      </c>
      <c r="T3" s="113">
        <f>Workings!T4</f>
        <v>2027</v>
      </c>
      <c r="U3" s="113">
        <f>Workings!U4</f>
        <v>2028</v>
      </c>
      <c r="V3" s="113">
        <f>Workings!V4</f>
        <v>2029</v>
      </c>
      <c r="W3" s="113">
        <f>Workings!W4</f>
        <v>2030</v>
      </c>
      <c r="X3" s="113">
        <f>Workings!X4</f>
        <v>2031</v>
      </c>
      <c r="Y3" s="113">
        <f>Workings!Y4</f>
        <v>2032</v>
      </c>
      <c r="Z3" s="113">
        <f>Workings!Z4</f>
        <v>2033</v>
      </c>
      <c r="AA3" s="113">
        <f>Workings!AA4</f>
        <v>2034</v>
      </c>
      <c r="AB3" s="113">
        <f>Workings!AB4</f>
        <v>2035</v>
      </c>
      <c r="AC3" s="113">
        <f>Workings!AC4</f>
        <v>2036</v>
      </c>
      <c r="AD3" s="113">
        <f>Workings!AD4</f>
        <v>2037</v>
      </c>
      <c r="AE3" s="113">
        <f>Workings!AE4</f>
        <v>2038</v>
      </c>
      <c r="AF3" s="113">
        <f>Workings!AF4</f>
        <v>2039</v>
      </c>
      <c r="AG3" s="113">
        <f>Workings!AG4</f>
        <v>2040</v>
      </c>
      <c r="AH3" s="113">
        <f>Workings!AH4</f>
        <v>2041</v>
      </c>
      <c r="AI3" s="113">
        <f>Workings!AI4</f>
        <v>2042</v>
      </c>
      <c r="AJ3" s="113">
        <f>Workings!AJ4</f>
        <v>2043</v>
      </c>
      <c r="AK3" s="113">
        <f>Workings!AK4</f>
        <v>2044</v>
      </c>
      <c r="AL3" s="113">
        <f>Workings!AL4</f>
        <v>2045</v>
      </c>
    </row>
    <row r="4" spans="2:38" ht="12.75">
      <c r="B4" s="1" t="s">
        <v>205</v>
      </c>
      <c r="D4" s="116">
        <f>'Input and Output'!$C$100*(1+'Input and Output'!$C$103)^'Annex 1 - Timber prices'!D2</f>
        <v>404</v>
      </c>
      <c r="E4" s="116">
        <f>'Input and Output'!$C$100*(1+'Input and Output'!$C$103)^'Annex 1 - Timber prices'!E2</f>
        <v>408.04</v>
      </c>
      <c r="F4" s="116">
        <f>'Input and Output'!$C$100*(1+'Input and Output'!$C$103)^'Annex 1 - Timber prices'!F2</f>
        <v>412.12039999999996</v>
      </c>
      <c r="G4" s="116">
        <f>'Input and Output'!$C$100*(1+'Input and Output'!$C$103)^'Annex 1 - Timber prices'!G2</f>
        <v>416.241604</v>
      </c>
      <c r="H4" s="116">
        <f>'Input and Output'!$C$100*(1+'Input and Output'!$C$103)^'Annex 1 - Timber prices'!H2</f>
        <v>420.40402004</v>
      </c>
      <c r="I4" s="116">
        <f>'Input and Output'!$C$100*(1+'Input and Output'!$C$103)^'Annex 1 - Timber prices'!I2</f>
        <v>424.60806024040005</v>
      </c>
      <c r="J4" s="116">
        <f>'Input and Output'!$C$100*(1+'Input and Output'!$C$103)^'Annex 1 - Timber prices'!J2</f>
        <v>428.85414084280393</v>
      </c>
      <c r="K4" s="116">
        <f>'Input and Output'!$C$100*(1+'Input and Output'!$C$103)^'Annex 1 - Timber prices'!K2</f>
        <v>433.1426822512321</v>
      </c>
      <c r="L4" s="116">
        <f>'Input and Output'!$C$100*(1+'Input and Output'!$C$103)^'Annex 1 - Timber prices'!L2</f>
        <v>437.47410907374444</v>
      </c>
      <c r="M4" s="116">
        <f>'Input and Output'!$C$100*(1+'Input and Output'!$C$103)^'Annex 1 - Timber prices'!M2</f>
        <v>441.8488501644819</v>
      </c>
      <c r="N4" s="116">
        <f>'Input and Output'!$C$100*(1+'Input and Output'!$C$103)^'Annex 1 - Timber prices'!N2</f>
        <v>446.26733866612665</v>
      </c>
      <c r="O4" s="116">
        <f>'Input and Output'!$C$100*(1+'Input and Output'!$C$103)^'Annex 1 - Timber prices'!O2</f>
        <v>450.7300120527879</v>
      </c>
      <c r="P4" s="116">
        <f>'Input and Output'!$C$100*(1+'Input and Output'!$C$103)^'Annex 1 - Timber prices'!P2</f>
        <v>455.2373121733158</v>
      </c>
      <c r="Q4" s="116">
        <f>'Input and Output'!$C$100*(1+'Input and Output'!$C$103)^'Annex 1 - Timber prices'!Q2</f>
        <v>459.789685295049</v>
      </c>
      <c r="R4" s="116">
        <f>'Input and Output'!$C$100*(1+'Input and Output'!$C$103)^'Annex 1 - Timber prices'!R2</f>
        <v>464.38758214799935</v>
      </c>
      <c r="S4" s="116">
        <f>'Input and Output'!$C$100*(1+'Input and Output'!$C$103)^'Annex 1 - Timber prices'!S2</f>
        <v>469.0314579694795</v>
      </c>
      <c r="T4" s="116">
        <f>'Input and Output'!$C$100*(1+'Input and Output'!$C$103)^'Annex 1 - Timber prices'!T2</f>
        <v>473.7217725491743</v>
      </c>
      <c r="U4" s="116">
        <f>'Input and Output'!$C$100*(1+'Input and Output'!$C$103)^'Annex 1 - Timber prices'!U2</f>
        <v>478.4589902746661</v>
      </c>
      <c r="V4" s="116">
        <f>'Input and Output'!$C$100*(1+'Input and Output'!$C$103)^'Annex 1 - Timber prices'!V2</f>
        <v>483.24358017741264</v>
      </c>
      <c r="W4" s="116">
        <f>'Input and Output'!$C$100*(1+'Input and Output'!$C$103)^'Annex 1 - Timber prices'!W2</f>
        <v>488.0760159791868</v>
      </c>
      <c r="X4" s="116">
        <f>'Input and Output'!$C$100*(1+'Input and Output'!$C$103)^'Annex 1 - Timber prices'!X2</f>
        <v>492.9567761389786</v>
      </c>
      <c r="Y4" s="116">
        <f>'Input and Output'!$C$100*(1+'Input and Output'!$C$103)^'Annex 1 - Timber prices'!Y2</f>
        <v>497.88634390036856</v>
      </c>
      <c r="Z4" s="116">
        <f>'Input and Output'!$C$100*(1+'Input and Output'!$C$103)^'Annex 1 - Timber prices'!Z2</f>
        <v>502.86520733937215</v>
      </c>
      <c r="AA4" s="116">
        <f>'Input and Output'!$C$100*(1+'Input and Output'!$C$103)^'Annex 1 - Timber prices'!AA2</f>
        <v>507.893859412766</v>
      </c>
      <c r="AB4" s="116">
        <f>'Input and Output'!$C$100*(1+'Input and Output'!$C$103)^'Annex 1 - Timber prices'!AB2</f>
        <v>512.9727980068938</v>
      </c>
      <c r="AC4" s="116">
        <f>'Input and Output'!$C$100*(1+'Input and Output'!$C$103)^'Annex 1 - Timber prices'!AC2</f>
        <v>518.1025259869626</v>
      </c>
      <c r="AD4" s="116">
        <f>'Input and Output'!$C$100*(1+'Input and Output'!$C$103)^'Annex 1 - Timber prices'!AD2</f>
        <v>523.2835512468321</v>
      </c>
      <c r="AE4" s="116">
        <f>'Input and Output'!$C$100*(1+'Input and Output'!$C$103)^'Annex 1 - Timber prices'!AE2</f>
        <v>528.5163867593004</v>
      </c>
      <c r="AF4" s="116">
        <f>'Input and Output'!$C$100*(1+'Input and Output'!$C$103)^'Annex 1 - Timber prices'!AF2</f>
        <v>533.8015506268935</v>
      </c>
      <c r="AG4" s="116">
        <f>'Input and Output'!$C$100*(1+'Input and Output'!$C$103)^'Annex 1 - Timber prices'!AG2</f>
        <v>539.1395661331625</v>
      </c>
      <c r="AH4" s="116">
        <f>'Input and Output'!$C$100*(1+'Input and Output'!$C$103)^'Annex 1 - Timber prices'!AH2</f>
        <v>544.5309617944939</v>
      </c>
      <c r="AI4" s="116">
        <f>'Input and Output'!$C$100*(1+'Input and Output'!$C$103)^'Annex 1 - Timber prices'!AI2</f>
        <v>549.976271412439</v>
      </c>
      <c r="AJ4" s="116">
        <f>'Input and Output'!$C$100*(1+'Input and Output'!$C$103)^'Annex 1 - Timber prices'!AJ2</f>
        <v>555.4760341265635</v>
      </c>
      <c r="AK4" s="116">
        <f>'Input and Output'!$C$100*(1+'Input and Output'!$C$103)^'Annex 1 - Timber prices'!AK2</f>
        <v>561.0307944678291</v>
      </c>
      <c r="AL4" s="116">
        <f>'Input and Output'!$C$100*(1+'Input and Output'!$C$103)^'Annex 1 - Timber prices'!AL2</f>
        <v>566.6411024125073</v>
      </c>
    </row>
    <row r="5" spans="2:38" ht="12.75">
      <c r="B5" s="1" t="s">
        <v>206</v>
      </c>
      <c r="D5" s="116">
        <f>'Input and Output'!$C$101*(1+'Input and Output'!$C$103)^'Annex 1 - Timber prices'!D2</f>
        <v>151.5</v>
      </c>
      <c r="E5" s="116">
        <f>'Input and Output'!$C$101*(1+'Input and Output'!$C$103)^'Annex 1 - Timber prices'!E2</f>
        <v>153.01500000000001</v>
      </c>
      <c r="F5" s="116">
        <f>'Input and Output'!$C$101*(1+'Input and Output'!$C$103)^'Annex 1 - Timber prices'!F2</f>
        <v>154.54514999999998</v>
      </c>
      <c r="G5" s="116">
        <f>'Input and Output'!$C$101*(1+'Input and Output'!$C$103)^'Annex 1 - Timber prices'!G2</f>
        <v>156.0906015</v>
      </c>
      <c r="H5" s="116">
        <f>'Input and Output'!$C$101*(1+'Input and Output'!$C$103)^'Annex 1 - Timber prices'!H2</f>
        <v>157.651507515</v>
      </c>
      <c r="I5" s="116">
        <f>'Input and Output'!$C$101*(1+'Input and Output'!$C$103)^'Annex 1 - Timber prices'!I2</f>
        <v>159.22802259015003</v>
      </c>
      <c r="J5" s="116">
        <f>'Input and Output'!$C$101*(1+'Input and Output'!$C$103)^'Annex 1 - Timber prices'!J2</f>
        <v>160.82030281605148</v>
      </c>
      <c r="K5" s="116">
        <f>'Input and Output'!$C$101*(1+'Input and Output'!$C$103)^'Annex 1 - Timber prices'!K2</f>
        <v>162.42850584421203</v>
      </c>
      <c r="L5" s="116">
        <f>'Input and Output'!$C$101*(1+'Input and Output'!$C$103)^'Annex 1 - Timber prices'!L2</f>
        <v>164.05279090265418</v>
      </c>
      <c r="M5" s="116">
        <f>'Input and Output'!$C$101*(1+'Input and Output'!$C$103)^'Annex 1 - Timber prices'!M2</f>
        <v>165.6933188116807</v>
      </c>
      <c r="N5" s="116">
        <f>'Input and Output'!$C$101*(1+'Input and Output'!$C$103)^'Annex 1 - Timber prices'!N2</f>
        <v>167.35025199979748</v>
      </c>
      <c r="O5" s="116">
        <f>'Input and Output'!$C$101*(1+'Input and Output'!$C$103)^'Annex 1 - Timber prices'!O2</f>
        <v>169.02375451979546</v>
      </c>
      <c r="P5" s="116">
        <f>'Input and Output'!$C$101*(1+'Input and Output'!$C$103)^'Annex 1 - Timber prices'!P2</f>
        <v>170.71399206499342</v>
      </c>
      <c r="Q5" s="116">
        <f>'Input and Output'!$C$101*(1+'Input and Output'!$C$103)^'Annex 1 - Timber prices'!Q2</f>
        <v>172.42113198564337</v>
      </c>
      <c r="R5" s="116">
        <f>'Input and Output'!$C$101*(1+'Input and Output'!$C$103)^'Annex 1 - Timber prices'!R2</f>
        <v>174.14534330549978</v>
      </c>
      <c r="S5" s="116">
        <f>'Input and Output'!$C$101*(1+'Input and Output'!$C$103)^'Annex 1 - Timber prices'!S2</f>
        <v>175.8867967385548</v>
      </c>
      <c r="T5" s="116">
        <f>'Input and Output'!$C$101*(1+'Input and Output'!$C$103)^'Annex 1 - Timber prices'!T2</f>
        <v>177.64566470594036</v>
      </c>
      <c r="U5" s="116">
        <f>'Input and Output'!$C$101*(1+'Input and Output'!$C$103)^'Annex 1 - Timber prices'!U2</f>
        <v>179.4221213529998</v>
      </c>
      <c r="V5" s="116">
        <f>'Input and Output'!$C$101*(1+'Input and Output'!$C$103)^'Annex 1 - Timber prices'!V2</f>
        <v>181.21634256652973</v>
      </c>
      <c r="W5" s="116">
        <f>'Input and Output'!$C$101*(1+'Input and Output'!$C$103)^'Annex 1 - Timber prices'!W2</f>
        <v>183.02850599219505</v>
      </c>
      <c r="X5" s="116">
        <f>'Input and Output'!$C$101*(1+'Input and Output'!$C$103)^'Annex 1 - Timber prices'!X2</f>
        <v>184.858791052117</v>
      </c>
      <c r="Y5" s="116">
        <f>'Input and Output'!$C$101*(1+'Input and Output'!$C$103)^'Annex 1 - Timber prices'!Y2</f>
        <v>186.70737896263822</v>
      </c>
      <c r="Z5" s="116">
        <f>'Input and Output'!$C$101*(1+'Input and Output'!$C$103)^'Annex 1 - Timber prices'!Z2</f>
        <v>188.57445275226456</v>
      </c>
      <c r="AA5" s="116">
        <f>'Input and Output'!$C$101*(1+'Input and Output'!$C$103)^'Annex 1 - Timber prices'!AA2</f>
        <v>190.46019727978725</v>
      </c>
      <c r="AB5" s="116">
        <f>'Input and Output'!$C$101*(1+'Input and Output'!$C$103)^'Annex 1 - Timber prices'!AB2</f>
        <v>192.36479925258513</v>
      </c>
      <c r="AC5" s="116"/>
      <c r="AD5" s="116"/>
      <c r="AE5" s="116"/>
      <c r="AF5" s="116"/>
      <c r="AG5" s="116"/>
      <c r="AH5" s="116"/>
      <c r="AI5" s="116"/>
      <c r="AJ5" s="116"/>
      <c r="AK5" s="116"/>
      <c r="AL5" s="116"/>
    </row>
    <row r="8" spans="2:23" ht="12.75">
      <c r="B8" s="15"/>
      <c r="C8" s="2"/>
      <c r="D8" s="5"/>
      <c r="E8" s="5"/>
      <c r="F8" s="5"/>
      <c r="G8" s="5"/>
      <c r="N8" s="2"/>
      <c r="O8" s="2"/>
      <c r="P8" s="2"/>
      <c r="Q8" s="2"/>
      <c r="R8" s="2"/>
      <c r="S8" s="2"/>
      <c r="T8" s="2"/>
      <c r="U8" s="2"/>
      <c r="V8" s="2"/>
      <c r="W8" s="2"/>
    </row>
    <row r="9" spans="1:23" ht="13.5" thickBot="1">
      <c r="A9" s="22"/>
      <c r="B9" s="23"/>
      <c r="C9" s="22"/>
      <c r="D9" s="21"/>
      <c r="E9" s="21"/>
      <c r="F9" s="21"/>
      <c r="G9" s="21"/>
      <c r="H9" s="22"/>
      <c r="I9" s="22"/>
      <c r="J9" s="22"/>
      <c r="K9" s="22"/>
      <c r="L9" s="22"/>
      <c r="M9" s="22"/>
      <c r="N9" s="2"/>
      <c r="O9" s="2"/>
      <c r="P9" s="2"/>
      <c r="Q9" s="2"/>
      <c r="R9" s="2"/>
      <c r="S9" s="2"/>
      <c r="T9" s="2"/>
      <c r="U9" s="2"/>
      <c r="V9" s="2"/>
      <c r="W9" s="2"/>
    </row>
    <row r="10" spans="14:23" ht="12.75">
      <c r="N10" s="2"/>
      <c r="O10" s="2"/>
      <c r="P10" s="2"/>
      <c r="Q10" s="2"/>
      <c r="R10" s="2"/>
      <c r="S10" s="2"/>
      <c r="T10" s="2"/>
      <c r="U10" s="2"/>
      <c r="V10" s="2"/>
      <c r="W10" s="2"/>
    </row>
    <row r="11" spans="14:23" ht="12.75">
      <c r="N11" s="2"/>
      <c r="O11" s="2"/>
      <c r="P11" s="2"/>
      <c r="Q11" s="2"/>
      <c r="R11" s="2"/>
      <c r="S11" s="2"/>
      <c r="T11" s="2"/>
      <c r="U11" s="2"/>
      <c r="V11" s="2"/>
      <c r="W11" s="2"/>
    </row>
  </sheetData>
  <sheetProtection/>
  <printOptions/>
  <pageMargins left="0.75" right="0.75" top="1" bottom="1" header="0.5" footer="0.5"/>
  <pageSetup fitToHeight="1" fitToWidth="1" horizontalDpi="1200" verticalDpi="12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2:AL12"/>
  <sheetViews>
    <sheetView zoomScalePageLayoutView="0" workbookViewId="0" topLeftCell="A1">
      <selection activeCell="A1" sqref="A1"/>
    </sheetView>
  </sheetViews>
  <sheetFormatPr defaultColWidth="9.140625" defaultRowHeight="12.75"/>
  <cols>
    <col min="1" max="2" width="9.140625" style="1" customWidth="1"/>
    <col min="3" max="3" width="21.28125" style="1" customWidth="1"/>
    <col min="4" max="16384" width="9.140625" style="1" customWidth="1"/>
  </cols>
  <sheetData>
    <row r="2" spans="2:38" ht="12.75">
      <c r="B2" s="2" t="str">
        <f>Workings!A3</f>
        <v>year of operation</v>
      </c>
      <c r="C2" s="112"/>
      <c r="D2" s="113">
        <f>Workings!D3</f>
        <v>1</v>
      </c>
      <c r="E2" s="113">
        <f>Workings!E3</f>
        <v>2</v>
      </c>
      <c r="F2" s="113">
        <f>Workings!F3</f>
        <v>3</v>
      </c>
      <c r="G2" s="113">
        <f>Workings!G3</f>
        <v>4</v>
      </c>
      <c r="H2" s="113">
        <f>Workings!H3</f>
        <v>5</v>
      </c>
      <c r="I2" s="113">
        <f>Workings!I3</f>
        <v>6</v>
      </c>
      <c r="J2" s="113">
        <f>Workings!J3</f>
        <v>7</v>
      </c>
      <c r="K2" s="113">
        <f>Workings!K3</f>
        <v>8</v>
      </c>
      <c r="L2" s="113">
        <f>Workings!L3</f>
        <v>9</v>
      </c>
      <c r="M2" s="113">
        <f>Workings!M3</f>
        <v>10</v>
      </c>
      <c r="N2" s="113">
        <f>Workings!N3</f>
        <v>11</v>
      </c>
      <c r="O2" s="113">
        <f>Workings!O3</f>
        <v>12</v>
      </c>
      <c r="P2" s="113">
        <f>Workings!P3</f>
        <v>13</v>
      </c>
      <c r="Q2" s="113">
        <f>Workings!Q3</f>
        <v>14</v>
      </c>
      <c r="R2" s="113">
        <f>Workings!R3</f>
        <v>15</v>
      </c>
      <c r="S2" s="113">
        <f>Workings!S3</f>
        <v>16</v>
      </c>
      <c r="T2" s="113">
        <f>Workings!T3</f>
        <v>17</v>
      </c>
      <c r="U2" s="113">
        <f>Workings!U3</f>
        <v>18</v>
      </c>
      <c r="V2" s="113">
        <f>Workings!V3</f>
        <v>19</v>
      </c>
      <c r="W2" s="113">
        <f>Workings!W3</f>
        <v>20</v>
      </c>
      <c r="X2" s="113">
        <f>Workings!X3</f>
        <v>21</v>
      </c>
      <c r="Y2" s="113">
        <f>Workings!Y3</f>
        <v>22</v>
      </c>
      <c r="Z2" s="113">
        <f>Workings!Z3</f>
        <v>23</v>
      </c>
      <c r="AA2" s="113">
        <f>Workings!AA3</f>
        <v>24</v>
      </c>
      <c r="AB2" s="113">
        <f>Workings!AB3</f>
        <v>25</v>
      </c>
      <c r="AC2" s="113">
        <f>Workings!AC3</f>
        <v>26</v>
      </c>
      <c r="AD2" s="113">
        <f>Workings!AD3</f>
        <v>27</v>
      </c>
      <c r="AE2" s="113">
        <f>Workings!AE3</f>
        <v>28</v>
      </c>
      <c r="AF2" s="113">
        <f>Workings!AF3</f>
        <v>29</v>
      </c>
      <c r="AG2" s="113">
        <f>Workings!AG3</f>
        <v>30</v>
      </c>
      <c r="AH2" s="113">
        <f>Workings!AH3</f>
        <v>31</v>
      </c>
      <c r="AI2" s="113">
        <f>Workings!AI3</f>
        <v>32</v>
      </c>
      <c r="AJ2" s="113">
        <f>Workings!AJ3</f>
        <v>33</v>
      </c>
      <c r="AK2" s="113">
        <f>Workings!AK3</f>
        <v>34</v>
      </c>
      <c r="AL2" s="113">
        <f>Workings!AL3</f>
        <v>35</v>
      </c>
    </row>
    <row r="3" spans="2:38" ht="12.75">
      <c r="B3" s="114"/>
      <c r="C3" s="115"/>
      <c r="D3" s="113">
        <f>Workings!D4</f>
        <v>2011</v>
      </c>
      <c r="E3" s="113">
        <f>Workings!E4</f>
        <v>2012</v>
      </c>
      <c r="F3" s="113">
        <f>Workings!F4</f>
        <v>2013</v>
      </c>
      <c r="G3" s="113">
        <f>Workings!G4</f>
        <v>2014</v>
      </c>
      <c r="H3" s="113">
        <f>Workings!H4</f>
        <v>2015</v>
      </c>
      <c r="I3" s="113">
        <f>Workings!I4</f>
        <v>2016</v>
      </c>
      <c r="J3" s="113">
        <f>Workings!J4</f>
        <v>2017</v>
      </c>
      <c r="K3" s="113">
        <f>Workings!K4</f>
        <v>2018</v>
      </c>
      <c r="L3" s="113">
        <f>Workings!L4</f>
        <v>2019</v>
      </c>
      <c r="M3" s="113">
        <f>Workings!M4</f>
        <v>2020</v>
      </c>
      <c r="N3" s="113">
        <f>Workings!N4</f>
        <v>2021</v>
      </c>
      <c r="O3" s="113">
        <f>Workings!O4</f>
        <v>2022</v>
      </c>
      <c r="P3" s="113">
        <f>Workings!P4</f>
        <v>2023</v>
      </c>
      <c r="Q3" s="113">
        <f>Workings!Q4</f>
        <v>2024</v>
      </c>
      <c r="R3" s="113">
        <f>Workings!R4</f>
        <v>2025</v>
      </c>
      <c r="S3" s="113">
        <f>Workings!S4</f>
        <v>2026</v>
      </c>
      <c r="T3" s="113">
        <f>Workings!T4</f>
        <v>2027</v>
      </c>
      <c r="U3" s="113">
        <f>Workings!U4</f>
        <v>2028</v>
      </c>
      <c r="V3" s="113">
        <f>Workings!V4</f>
        <v>2029</v>
      </c>
      <c r="W3" s="113">
        <f>Workings!W4</f>
        <v>2030</v>
      </c>
      <c r="X3" s="113">
        <f>Workings!X4</f>
        <v>2031</v>
      </c>
      <c r="Y3" s="113">
        <f>Workings!Y4</f>
        <v>2032</v>
      </c>
      <c r="Z3" s="113">
        <f>Workings!Z4</f>
        <v>2033</v>
      </c>
      <c r="AA3" s="113">
        <f>Workings!AA4</f>
        <v>2034</v>
      </c>
      <c r="AB3" s="113">
        <f>Workings!AB4</f>
        <v>2035</v>
      </c>
      <c r="AC3" s="113">
        <f>Workings!AC4</f>
        <v>2036</v>
      </c>
      <c r="AD3" s="113">
        <f>Workings!AD4</f>
        <v>2037</v>
      </c>
      <c r="AE3" s="113">
        <f>Workings!AE4</f>
        <v>2038</v>
      </c>
      <c r="AF3" s="113">
        <f>Workings!AF4</f>
        <v>2039</v>
      </c>
      <c r="AG3" s="113">
        <f>Workings!AG4</f>
        <v>2040</v>
      </c>
      <c r="AH3" s="113">
        <f>Workings!AH4</f>
        <v>2041</v>
      </c>
      <c r="AI3" s="113">
        <f>Workings!AI4</f>
        <v>2042</v>
      </c>
      <c r="AJ3" s="113">
        <f>Workings!AJ4</f>
        <v>2043</v>
      </c>
      <c r="AK3" s="113">
        <f>Workings!AK4</f>
        <v>2044</v>
      </c>
      <c r="AL3" s="113">
        <f>Workings!AL4</f>
        <v>2045</v>
      </c>
    </row>
    <row r="4" spans="2:38" ht="12.75">
      <c r="B4" s="1" t="s">
        <v>107</v>
      </c>
      <c r="D4" s="116">
        <f>'Input and Output'!$C$124*(1+'Input and Output'!$C$125)^'Annex 2 - Bushes harvest prices'!D2</f>
        <v>0.765</v>
      </c>
      <c r="E4" s="116">
        <f>'Input and Output'!$C$124*(1+'Input and Output'!$C$125)^'Annex 2 - Bushes harvest prices'!E2</f>
        <v>0.7803</v>
      </c>
      <c r="F4" s="116">
        <f>'Input and Output'!$C$124*(1+'Input and Output'!$C$125)^'Annex 2 - Bushes harvest prices'!F2</f>
        <v>0.795906</v>
      </c>
      <c r="G4" s="116">
        <f>'Input and Output'!$C$124*(1+'Input and Output'!$C$125)^'Annex 2 - Bushes harvest prices'!G2</f>
        <v>0.81182412</v>
      </c>
      <c r="H4" s="116">
        <f>'Input and Output'!$C$124*(1+'Input and Output'!$C$125)^'Annex 2 - Bushes harvest prices'!H2</f>
        <v>0.8280606024</v>
      </c>
      <c r="I4" s="116">
        <f>'Input and Output'!$C$124*(1+'Input and Output'!$C$125)^'Annex 2 - Bushes harvest prices'!I2</f>
        <v>0.844621814448</v>
      </c>
      <c r="J4" s="116">
        <f>'Input and Output'!$C$124*(1+'Input and Output'!$C$125)^'Annex 2 - Bushes harvest prices'!J2</f>
        <v>0.8615142507369599</v>
      </c>
      <c r="K4" s="116">
        <f>'Input and Output'!$C$124*(1+'Input and Output'!$C$125)^'Annex 2 - Bushes harvest prices'!K2</f>
        <v>0.8787445357516992</v>
      </c>
      <c r="L4" s="116">
        <f>'Input and Output'!$C$124*(1+'Input and Output'!$C$125)^'Annex 2 - Bushes harvest prices'!L2</f>
        <v>0.8963194264667331</v>
      </c>
      <c r="M4" s="116">
        <f>'Input and Output'!$C$124*(1+'Input and Output'!$C$125)^'Annex 2 - Bushes harvest prices'!M2</f>
        <v>0.9142458149960678</v>
      </c>
      <c r="N4" s="116">
        <f>'Input and Output'!$C$124*(1+'Input and Output'!$C$125)^'Annex 2 - Bushes harvest prices'!N2</f>
        <v>0.932530731295989</v>
      </c>
      <c r="O4" s="116">
        <f>'Input and Output'!$C$124*(1+'Input and Output'!$C$125)^'Annex 2 - Bushes harvest prices'!O2</f>
        <v>0.951181345921909</v>
      </c>
      <c r="P4" s="116">
        <f>'Input and Output'!$C$124*(1+'Input and Output'!$C$125)^'Annex 2 - Bushes harvest prices'!P2</f>
        <v>0.970204972840347</v>
      </c>
      <c r="Q4" s="116">
        <f>'Input and Output'!$C$124*(1+'Input and Output'!$C$125)^'Annex 2 - Bushes harvest prices'!Q2</f>
        <v>0.9896090722971541</v>
      </c>
      <c r="R4" s="116">
        <f>'Input and Output'!$C$124*(1+'Input and Output'!$C$125)^'Annex 2 - Bushes harvest prices'!R2</f>
        <v>1.009401253743097</v>
      </c>
      <c r="S4" s="116">
        <f>'Input and Output'!$C$124*(1+'Input and Output'!$C$125)^'Annex 2 - Bushes harvest prices'!S2</f>
        <v>1.029589278817959</v>
      </c>
      <c r="T4" s="116">
        <f>'Input and Output'!$C$124*(1+'Input and Output'!$C$125)^'Annex 2 - Bushes harvest prices'!T2</f>
        <v>1.0501810643943184</v>
      </c>
      <c r="U4" s="116">
        <f>'Input and Output'!$C$124*(1+'Input and Output'!$C$125)^'Annex 2 - Bushes harvest prices'!U2</f>
        <v>1.0711846856822045</v>
      </c>
      <c r="V4" s="116">
        <f>'Input and Output'!$C$124*(1+'Input and Output'!$C$125)^'Annex 2 - Bushes harvest prices'!V2</f>
        <v>1.0926083793958485</v>
      </c>
      <c r="W4" s="116">
        <f>'Input and Output'!$C$124*(1+'Input and Output'!$C$125)^'Annex 2 - Bushes harvest prices'!W2</f>
        <v>1.1144605469837656</v>
      </c>
      <c r="X4" s="116">
        <f>'Input and Output'!$C$124*(1+'Input and Output'!$C$125)^'Annex 2 - Bushes harvest prices'!X2</f>
        <v>1.136749757923441</v>
      </c>
      <c r="Y4" s="116">
        <f>'Input and Output'!$C$124*(1+'Input and Output'!$C$125)^'Annex 2 - Bushes harvest prices'!Y2</f>
        <v>1.1594847530819097</v>
      </c>
      <c r="Z4" s="116">
        <f>'Input and Output'!$C$124*(1+'Input and Output'!$C$125)^'Annex 2 - Bushes harvest prices'!Z2</f>
        <v>1.1826744481435478</v>
      </c>
      <c r="AA4" s="116">
        <f>'Input and Output'!$C$124*(1+'Input and Output'!$C$125)^'Annex 2 - Bushes harvest prices'!AA2</f>
        <v>1.2063279371064188</v>
      </c>
      <c r="AB4" s="116">
        <f>'Input and Output'!$C$124*(1+'Input and Output'!$C$125)^'Annex 2 - Bushes harvest prices'!AB2</f>
        <v>1.230454495848547</v>
      </c>
      <c r="AC4" s="116">
        <f>'Input and Output'!$C$124*(1+'Input and Output'!$C$125)^'Annex 2 - Bushes harvest prices'!AC2</f>
        <v>1.2550635857655181</v>
      </c>
      <c r="AD4" s="116">
        <f>'Input and Output'!$C$124*(1+'Input and Output'!$C$125)^'Annex 2 - Bushes harvest prices'!AD2</f>
        <v>1.2801648574808284</v>
      </c>
      <c r="AE4" s="116">
        <f>'Input and Output'!$C$124*(1+'Input and Output'!$C$125)^'Annex 2 - Bushes harvest prices'!AE2</f>
        <v>1.3057681546304452</v>
      </c>
      <c r="AF4" s="116">
        <f>'Input and Output'!$C$124*(1+'Input and Output'!$C$125)^'Annex 2 - Bushes harvest prices'!AF2</f>
        <v>1.331883517723054</v>
      </c>
      <c r="AG4" s="116">
        <f>'Input and Output'!$C$124*(1+'Input and Output'!$C$125)^'Annex 2 - Bushes harvest prices'!AG2</f>
        <v>1.358521188077515</v>
      </c>
      <c r="AH4" s="116">
        <f>'Input and Output'!$C$124*(1+'Input and Output'!$C$125)^'Annex 2 - Bushes harvest prices'!AH2</f>
        <v>1.3856916118390652</v>
      </c>
      <c r="AI4" s="116">
        <f>'Input and Output'!$C$124*(1+'Input and Output'!$C$125)^'Annex 2 - Bushes harvest prices'!AI2</f>
        <v>1.4134054440758468</v>
      </c>
      <c r="AJ4" s="116">
        <f>'Input and Output'!$C$124*(1+'Input and Output'!$C$125)^'Annex 2 - Bushes harvest prices'!AJ2</f>
        <v>1.4416735529573637</v>
      </c>
      <c r="AK4" s="116">
        <f>'Input and Output'!$C$124*(1+'Input and Output'!$C$125)^'Annex 2 - Bushes harvest prices'!AK2</f>
        <v>1.4705070240165108</v>
      </c>
      <c r="AL4" s="116">
        <f>'Input and Output'!$C$124*(1+'Input and Output'!$C$125)^'Annex 2 - Bushes harvest prices'!AL2</f>
        <v>1.499917164496841</v>
      </c>
    </row>
    <row r="11" spans="2:7" ht="12.75">
      <c r="B11" s="15"/>
      <c r="C11" s="2"/>
      <c r="D11" s="5"/>
      <c r="E11" s="5"/>
      <c r="F11" s="5"/>
      <c r="G11" s="5"/>
    </row>
    <row r="12" spans="1:13" ht="13.5" thickBot="1">
      <c r="A12" s="22"/>
      <c r="B12" s="23"/>
      <c r="C12" s="22"/>
      <c r="D12" s="21"/>
      <c r="E12" s="21"/>
      <c r="F12" s="21"/>
      <c r="G12" s="21"/>
      <c r="H12" s="22"/>
      <c r="I12" s="22"/>
      <c r="J12" s="22"/>
      <c r="K12" s="22"/>
      <c r="L12" s="22"/>
      <c r="M12" s="22"/>
    </row>
  </sheetData>
  <sheetProtection/>
  <printOptions/>
  <pageMargins left="0.75" right="0.75" top="1" bottom="1" header="0.5" footer="0.5"/>
  <pageSetup horizontalDpi="1200" verticalDpi="1200" orientation="landscape" paperSize="9" scale="99" r:id="rId2"/>
  <colBreaks count="1" manualBreakCount="1">
    <brk id="13" min="10" max="41" man="1"/>
  </colBreaks>
  <drawing r:id="rId1"/>
</worksheet>
</file>

<file path=xl/worksheets/sheet9.xml><?xml version="1.0" encoding="utf-8"?>
<worksheet xmlns="http://schemas.openxmlformats.org/spreadsheetml/2006/main" xmlns:r="http://schemas.openxmlformats.org/officeDocument/2006/relationships">
  <dimension ref="A2:AL9"/>
  <sheetViews>
    <sheetView zoomScalePageLayoutView="0" workbookViewId="0" topLeftCell="A1">
      <selection activeCell="A1" sqref="A1"/>
    </sheetView>
  </sheetViews>
  <sheetFormatPr defaultColWidth="9.140625" defaultRowHeight="12.75"/>
  <cols>
    <col min="3" max="3" width="14.7109375" style="0" customWidth="1"/>
  </cols>
  <sheetData>
    <row r="2" spans="2:38" ht="12.75">
      <c r="B2" s="34" t="str">
        <f>Workings!A3</f>
        <v>year of operation</v>
      </c>
      <c r="C2" s="35"/>
      <c r="D2" s="33">
        <f>Workings!D3</f>
        <v>1</v>
      </c>
      <c r="E2" s="33">
        <f>Workings!E3</f>
        <v>2</v>
      </c>
      <c r="F2" s="33">
        <f>Workings!F3</f>
        <v>3</v>
      </c>
      <c r="G2" s="33">
        <f>Workings!G3</f>
        <v>4</v>
      </c>
      <c r="H2" s="33">
        <f>Workings!H3</f>
        <v>5</v>
      </c>
      <c r="I2" s="33">
        <f>Workings!I3</f>
        <v>6</v>
      </c>
      <c r="J2" s="33">
        <f>Workings!J3</f>
        <v>7</v>
      </c>
      <c r="K2" s="33">
        <f>Workings!K3</f>
        <v>8</v>
      </c>
      <c r="L2" s="33">
        <f>Workings!L3</f>
        <v>9</v>
      </c>
      <c r="M2" s="33">
        <f>Workings!M3</f>
        <v>10</v>
      </c>
      <c r="N2" s="33">
        <f>Workings!N3</f>
        <v>11</v>
      </c>
      <c r="O2" s="33">
        <f>Workings!O3</f>
        <v>12</v>
      </c>
      <c r="P2" s="33">
        <f>Workings!P3</f>
        <v>13</v>
      </c>
      <c r="Q2" s="33">
        <f>Workings!Q3</f>
        <v>14</v>
      </c>
      <c r="R2" s="33">
        <f>Workings!R3</f>
        <v>15</v>
      </c>
      <c r="S2" s="33">
        <f>Workings!S3</f>
        <v>16</v>
      </c>
      <c r="T2" s="33">
        <f>Workings!T3</f>
        <v>17</v>
      </c>
      <c r="U2" s="33">
        <f>Workings!U3</f>
        <v>18</v>
      </c>
      <c r="V2" s="33">
        <f>Workings!V3</f>
        <v>19</v>
      </c>
      <c r="W2" s="33">
        <f>Workings!W3</f>
        <v>20</v>
      </c>
      <c r="X2" s="33">
        <f>Workings!X3</f>
        <v>21</v>
      </c>
      <c r="Y2" s="33">
        <f>Workings!Y3</f>
        <v>22</v>
      </c>
      <c r="Z2" s="33">
        <f>Workings!Z3</f>
        <v>23</v>
      </c>
      <c r="AA2" s="33">
        <f>Workings!AA3</f>
        <v>24</v>
      </c>
      <c r="AB2" s="33">
        <f>Workings!AB3</f>
        <v>25</v>
      </c>
      <c r="AC2" s="33">
        <f>Workings!AC3</f>
        <v>26</v>
      </c>
      <c r="AD2" s="33">
        <f>Workings!AD3</f>
        <v>27</v>
      </c>
      <c r="AE2" s="33">
        <f>Workings!AE3</f>
        <v>28</v>
      </c>
      <c r="AF2" s="33">
        <f>Workings!AF3</f>
        <v>29</v>
      </c>
      <c r="AG2" s="33">
        <f>Workings!AG3</f>
        <v>30</v>
      </c>
      <c r="AH2" s="33">
        <f>Workings!AH3</f>
        <v>31</v>
      </c>
      <c r="AI2" s="33">
        <f>Workings!AI3</f>
        <v>32</v>
      </c>
      <c r="AJ2" s="33">
        <f>Workings!AJ3</f>
        <v>33</v>
      </c>
      <c r="AK2" s="33">
        <f>Workings!AK3</f>
        <v>34</v>
      </c>
      <c r="AL2" s="33">
        <f>Workings!AL3</f>
        <v>35</v>
      </c>
    </row>
    <row r="3" spans="2:38" ht="12.75">
      <c r="B3" s="36"/>
      <c r="C3" s="37"/>
      <c r="D3" s="33">
        <f>Workings!D4</f>
        <v>2011</v>
      </c>
      <c r="E3" s="33">
        <f>Workings!E4</f>
        <v>2012</v>
      </c>
      <c r="F3" s="33">
        <f>Workings!F4</f>
        <v>2013</v>
      </c>
      <c r="G3" s="33">
        <f>Workings!G4</f>
        <v>2014</v>
      </c>
      <c r="H3" s="33">
        <f>Workings!H4</f>
        <v>2015</v>
      </c>
      <c r="I3" s="33">
        <f>Workings!I4</f>
        <v>2016</v>
      </c>
      <c r="J3" s="33">
        <f>Workings!J4</f>
        <v>2017</v>
      </c>
      <c r="K3" s="33">
        <f>Workings!K4</f>
        <v>2018</v>
      </c>
      <c r="L3" s="33">
        <f>Workings!L4</f>
        <v>2019</v>
      </c>
      <c r="M3" s="33">
        <f>Workings!M4</f>
        <v>2020</v>
      </c>
      <c r="N3" s="33">
        <f>Workings!N4</f>
        <v>2021</v>
      </c>
      <c r="O3" s="33">
        <f>Workings!O4</f>
        <v>2022</v>
      </c>
      <c r="P3" s="33">
        <f>Workings!P4</f>
        <v>2023</v>
      </c>
      <c r="Q3" s="33">
        <f>Workings!Q4</f>
        <v>2024</v>
      </c>
      <c r="R3" s="33">
        <f>Workings!R4</f>
        <v>2025</v>
      </c>
      <c r="S3" s="33">
        <f>Workings!S4</f>
        <v>2026</v>
      </c>
      <c r="T3" s="33">
        <f>Workings!T4</f>
        <v>2027</v>
      </c>
      <c r="U3" s="33">
        <f>Workings!U4</f>
        <v>2028</v>
      </c>
      <c r="V3" s="33">
        <f>Workings!V4</f>
        <v>2029</v>
      </c>
      <c r="W3" s="33">
        <f>Workings!W4</f>
        <v>2030</v>
      </c>
      <c r="X3" s="33">
        <f>Workings!X4</f>
        <v>2031</v>
      </c>
      <c r="Y3" s="33">
        <f>Workings!Y4</f>
        <v>2032</v>
      </c>
      <c r="Z3" s="33">
        <f>Workings!Z4</f>
        <v>2033</v>
      </c>
      <c r="AA3" s="33">
        <f>Workings!AA4</f>
        <v>2034</v>
      </c>
      <c r="AB3" s="33">
        <f>Workings!AB4</f>
        <v>2035</v>
      </c>
      <c r="AC3" s="33">
        <f>Workings!AC4</f>
        <v>2036</v>
      </c>
      <c r="AD3" s="33">
        <f>Workings!AD4</f>
        <v>2037</v>
      </c>
      <c r="AE3" s="33">
        <f>Workings!AE4</f>
        <v>2038</v>
      </c>
      <c r="AF3" s="33">
        <f>Workings!AF4</f>
        <v>2039</v>
      </c>
      <c r="AG3" s="33">
        <f>Workings!AG4</f>
        <v>2040</v>
      </c>
      <c r="AH3" s="33">
        <f>Workings!AH4</f>
        <v>2041</v>
      </c>
      <c r="AI3" s="33">
        <f>Workings!AI4</f>
        <v>2042</v>
      </c>
      <c r="AJ3" s="33">
        <f>Workings!AJ4</f>
        <v>2043</v>
      </c>
      <c r="AK3" s="33">
        <f>Workings!AK4</f>
        <v>2044</v>
      </c>
      <c r="AL3" s="33">
        <f>Workings!AL4</f>
        <v>2045</v>
      </c>
    </row>
    <row r="4" spans="2:38" ht="12.75">
      <c r="B4" t="s">
        <v>289</v>
      </c>
      <c r="D4" s="39">
        <f>'Input and Output'!$C$132*(1+'Input and Output'!$C$133)^'Annex 3 - Carbon credit prices'!D2</f>
        <v>6.36</v>
      </c>
      <c r="E4" s="39">
        <f>'Input and Output'!$C$132*(1+'Input and Output'!$C$133)^'Annex 3 - Carbon credit prices'!E2</f>
        <v>6.741600000000001</v>
      </c>
      <c r="F4" s="39">
        <f>'Input and Output'!$C$132*(1+'Input and Output'!$C$133)^'Annex 3 - Carbon credit prices'!F2</f>
        <v>7.146096000000002</v>
      </c>
      <c r="G4" s="39">
        <f>'Input and Output'!$C$132*(1+'Input and Output'!$C$133)^'Annex 3 - Carbon credit prices'!G2</f>
        <v>7.574861760000002</v>
      </c>
      <c r="H4" s="39">
        <f>'Input and Output'!$C$132*(1+'Input and Output'!$C$133)^'Annex 3 - Carbon credit prices'!H2</f>
        <v>8.029353465600003</v>
      </c>
      <c r="I4" s="39">
        <f>'Input and Output'!$C$132*(1+'Input and Output'!$C$133)^'Annex 3 - Carbon credit prices'!I2</f>
        <v>8.511114673536003</v>
      </c>
      <c r="J4" s="39">
        <f>'Input and Output'!$C$132*(1+'Input and Output'!$C$133)^'Annex 3 - Carbon credit prices'!J2</f>
        <v>9.021781553948165</v>
      </c>
      <c r="K4" s="39">
        <f>'Input and Output'!$C$132*(1+'Input and Output'!$C$133)^'Annex 3 - Carbon credit prices'!K2</f>
        <v>9.563088447185054</v>
      </c>
      <c r="L4" s="39">
        <f>'Input and Output'!$C$132*(1+'Input and Output'!$C$133)^'Annex 3 - Carbon credit prices'!L2</f>
        <v>10.136873754016158</v>
      </c>
      <c r="M4" s="39">
        <f>'Input and Output'!$C$132*(1+'Input and Output'!$C$133)^'Annex 3 - Carbon credit prices'!M2</f>
        <v>10.745086179257127</v>
      </c>
      <c r="N4" s="39">
        <f>'Input and Output'!$C$132*(1+'Input and Output'!$C$133)^'Annex 3 - Carbon credit prices'!N2</f>
        <v>11.389791350012556</v>
      </c>
      <c r="O4" s="39">
        <f>'Input and Output'!$C$132*(1+'Input and Output'!$C$133)^'Annex 3 - Carbon credit prices'!O2</f>
        <v>12.073178831013312</v>
      </c>
      <c r="P4" s="39">
        <f>'Input and Output'!$C$132*(1+'Input and Output'!$C$133)^'Annex 3 - Carbon credit prices'!P2</f>
        <v>12.797569560874111</v>
      </c>
      <c r="Q4" s="39">
        <f>'Input and Output'!$C$132*(1+'Input and Output'!$C$133)^'Annex 3 - Carbon credit prices'!Q2</f>
        <v>13.565423734526558</v>
      </c>
      <c r="R4" s="39">
        <f>'Input and Output'!$C$132*(1+'Input and Output'!$C$133)^'Annex 3 - Carbon credit prices'!R2</f>
        <v>14.379349158598155</v>
      </c>
      <c r="S4" s="39">
        <f>'Input and Output'!$C$132*(1+'Input and Output'!$C$133)^'Annex 3 - Carbon credit prices'!S2</f>
        <v>15.24211010811404</v>
      </c>
      <c r="T4" s="39">
        <f>'Input and Output'!$C$132*(1+'Input and Output'!$C$133)^'Annex 3 - Carbon credit prices'!T2</f>
        <v>16.156636714600886</v>
      </c>
      <c r="U4" s="39">
        <f>'Input and Output'!$C$132*(1+'Input and Output'!$C$133)^'Annex 3 - Carbon credit prices'!U2</f>
        <v>17.126034917476936</v>
      </c>
      <c r="V4" s="39">
        <f>'Input and Output'!$C$132*(1+'Input and Output'!$C$133)^'Annex 3 - Carbon credit prices'!V2</f>
        <v>18.153597012525555</v>
      </c>
      <c r="W4" s="39">
        <f>'Input and Output'!$C$132*(1+'Input and Output'!$C$133)^'Annex 3 - Carbon credit prices'!W2</f>
        <v>19.24281283327709</v>
      </c>
      <c r="X4" s="39">
        <f>'Input and Output'!$C$132*(1+'Input and Output'!$C$133)^'Annex 3 - Carbon credit prices'!X2</f>
        <v>20.39738160327372</v>
      </c>
      <c r="Y4" s="39">
        <f>'Input and Output'!$C$132*(1+'Input and Output'!$C$133)^'Annex 3 - Carbon credit prices'!Y2</f>
        <v>21.62122449947014</v>
      </c>
      <c r="Z4" s="39">
        <f>'Input and Output'!$C$132*(1+'Input and Output'!$C$133)^'Annex 3 - Carbon credit prices'!Z2</f>
        <v>22.918497969438352</v>
      </c>
      <c r="AA4" s="39">
        <f>'Input and Output'!$C$132*(1+'Input and Output'!$C$133)^'Annex 3 - Carbon credit prices'!AA2</f>
        <v>24.29360784760465</v>
      </c>
      <c r="AB4" s="39">
        <f>'Input and Output'!$C$132*(1+'Input and Output'!$C$133)^'Annex 3 - Carbon credit prices'!AB2</f>
        <v>25.751224318460928</v>
      </c>
      <c r="AC4" s="39">
        <f>'Input and Output'!$C$132*(1+'Input and Output'!$C$133)^'Annex 3 - Carbon credit prices'!AC2</f>
        <v>27.296297777568586</v>
      </c>
      <c r="AD4" s="39">
        <f>'Input and Output'!$C$132*(1+'Input and Output'!$C$133)^'Annex 3 - Carbon credit prices'!AD2</f>
        <v>28.93407564422271</v>
      </c>
      <c r="AE4" s="39">
        <f>'Input and Output'!$C$132*(1+'Input and Output'!$C$133)^'Annex 3 - Carbon credit prices'!AE2</f>
        <v>30.67012018287607</v>
      </c>
      <c r="AF4" s="39">
        <f>'Input and Output'!$C$132*(1+'Input and Output'!$C$133)^'Annex 3 - Carbon credit prices'!AF2</f>
        <v>32.51032739384864</v>
      </c>
      <c r="AG4" s="39">
        <f>'Input and Output'!$C$132*(1+'Input and Output'!$C$133)^'Annex 3 - Carbon credit prices'!AG2</f>
        <v>34.460947037479556</v>
      </c>
      <c r="AH4" s="39">
        <f>'Input and Output'!$C$132*(1+'Input and Output'!$C$133)^'Annex 3 - Carbon credit prices'!AH2</f>
        <v>36.528603859728335</v>
      </c>
      <c r="AI4" s="39">
        <f>'Input and Output'!$C$132*(1+'Input and Output'!$C$133)^'Annex 3 - Carbon credit prices'!AI2</f>
        <v>38.72032009131203</v>
      </c>
      <c r="AJ4" s="39">
        <f>'Input and Output'!$C$132*(1+'Input and Output'!$C$133)^'Annex 3 - Carbon credit prices'!AJ2</f>
        <v>41.043539296790755</v>
      </c>
      <c r="AK4" s="39">
        <f>'Input and Output'!$C$132*(1+'Input and Output'!$C$133)^'Annex 3 - Carbon credit prices'!AK2</f>
        <v>43.506151654598206</v>
      </c>
      <c r="AL4" s="39">
        <f>'Input and Output'!$C$132*(1+'Input and Output'!$C$133)^'Annex 3 - Carbon credit prices'!AL2</f>
        <v>46.1165207538741</v>
      </c>
    </row>
    <row r="8" spans="1:13" ht="12.75">
      <c r="A8" s="1"/>
      <c r="B8" s="15"/>
      <c r="C8" s="2"/>
      <c r="D8" s="5"/>
      <c r="E8" s="5"/>
      <c r="F8" s="5"/>
      <c r="G8" s="5"/>
      <c r="H8" s="1"/>
      <c r="I8" s="1"/>
      <c r="J8" s="1"/>
      <c r="K8" s="1"/>
      <c r="L8" s="1"/>
      <c r="M8" s="1"/>
    </row>
    <row r="9" spans="1:13" ht="13.5" thickBot="1">
      <c r="A9" s="22"/>
      <c r="B9" s="23"/>
      <c r="C9" s="22"/>
      <c r="D9" s="21"/>
      <c r="E9" s="21"/>
      <c r="F9" s="21"/>
      <c r="G9" s="21"/>
      <c r="H9" s="22"/>
      <c r="I9" s="22"/>
      <c r="J9" s="22"/>
      <c r="K9" s="22"/>
      <c r="L9" s="22"/>
      <c r="M9" s="22"/>
    </row>
  </sheetData>
  <sheetProtection/>
  <printOptions/>
  <pageMargins left="0.75" right="0.75" top="1" bottom="1" header="0.5" footer="0.5"/>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AquaPro Holland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model for a reforestation project in Africa</dc:title>
  <dc:subject>Groasis Waterbox Reforestation project</dc:subject>
  <dc:creator>Wout Hoff</dc:creator>
  <cp:keywords/>
  <dc:description/>
  <cp:lastModifiedBy>PieterHoff</cp:lastModifiedBy>
  <cp:lastPrinted>2010-01-03T20:33:40Z</cp:lastPrinted>
  <dcterms:created xsi:type="dcterms:W3CDTF">2009-09-27T16:00:04Z</dcterms:created>
  <dcterms:modified xsi:type="dcterms:W3CDTF">2011-07-09T00:58:40Z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